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H9PWeDQaeBxg95LwXJ722C1ASCrBYRHFTa2X0VFPD5oG9EusLWt7y9JVSl8gKOb224D/FHxL0cBcIC6CQy84g==" workbookSaltValue="cKuPt6L2ZPmaQhKvuewk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H28" i="2"/>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BL18" i="16" s="1"/>
  <c r="EP31" i="8"/>
  <c r="AX23" i="11"/>
  <c r="AX26" i="11" s="1"/>
  <c r="ER31" i="13"/>
  <c r="AL14" i="16"/>
  <c r="AJ14" i="16"/>
  <c r="AJ31" i="16" s="1"/>
  <c r="EP31" i="19"/>
  <c r="T9" i="11"/>
  <c r="BH11" i="16"/>
  <c r="BH21" i="16"/>
  <c r="S20" i="14"/>
  <c r="V20" i="14" s="1"/>
  <c r="BK9"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F31" i="7"/>
  <c r="AL14" i="11"/>
  <c r="B14" i="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I32" i="20"/>
  <c r="AX32" i="20"/>
  <c r="Q32" i="20"/>
  <c r="G14" i="14"/>
  <c r="F23" i="2" l="1"/>
  <c r="H31" i="12"/>
  <c r="AL25" i="11"/>
  <c r="BF23" i="13"/>
  <c r="BE13" i="11"/>
  <c r="BI22" i="11"/>
  <c r="V16" i="11"/>
  <c r="BK19" i="11"/>
  <c r="BE11"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F33" i="12" l="1"/>
  <c r="AM31" i="16"/>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BK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AH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BL31" i="11"/>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<sst xmlns="http://schemas.openxmlformats.org/spreadsheetml/2006/main" count="2638" uniqueCount="1168">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</sst>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4J/1U28C4bD5cVvUYcZx2DZmaOdJZmUaqlRAlwAoenSCFP+FqG6l8SC7UpYg5Cf31+BzWayEUdA7+Iv/a3vCbA==" saltValue="5f+pXmEFn8Wlqj083YaF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29</v>
      </c>
      <c r="D10" s="239">
        <f>IF(ISNUMBER(Datos!I10),Datos!I10," - ")</f>
        <v>29</v>
      </c>
      <c r="E10" s="240">
        <f>IF(ISNUMBER(Datos!J10),Datos!J10," - ")</f>
        <v>87</v>
      </c>
      <c r="F10" s="240">
        <f>IF(ISNUMBER(Datos!K10),Datos!K10," - ")</f>
        <v>70</v>
      </c>
      <c r="G10" s="1392" t="str">
        <f>IF(Datos!E10&lt;&gt;"",Datos!E10,Datos!D10)</f>
        <v>37</v>
      </c>
      <c r="H10" s="241">
        <f>IF(ISNUMBER(Datos!L10),Datos!L10," - ")</f>
        <v>46</v>
      </c>
      <c r="I10" s="1402" t="str">
        <f>IF(ISNUMBER(Datos!AS10/Datos!BM10),Datos!AS10/Datos!BM10," - ")</f>
        <v xml:space="preserve"> - </v>
      </c>
      <c r="J10" s="1403">
        <f>IF(ISNUMBER(Datos!BY10/Datos!CN10),Datos!BY10/Datos!CN10," - ")</f>
        <v>0</v>
      </c>
      <c r="K10" s="244">
        <f t="shared" ref="K10:K13" si="1">IF(ISNUMBER((E10-F10)/C10),(E10-F10)/C10," - ")</f>
        <v>0.58620689655172409</v>
      </c>
      <c r="L10" s="1404">
        <f>IF(ISNUMBER(NºAsuntos!I10/NºAsuntos!G10),(NºAsuntos!I10/NºAsuntos!G10)*11," - ")</f>
        <v>7.2285714285714286</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8</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9.7670650730411683</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29</v>
      </c>
      <c r="D14" s="1409">
        <f>SUBTOTAL(9,D9:D13)</f>
        <v>29</v>
      </c>
      <c r="E14" s="1410">
        <f>SUBTOTAL(9,E9:E13)</f>
        <v>87</v>
      </c>
      <c r="F14" s="1411">
        <f>SUBTOTAL(9,F9:F13)</f>
        <v>70</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8</v>
      </c>
      <c r="B17" s="1464" t="str">
        <f>Datos!A17</f>
        <v xml:space="preserve">Jdos. 1ª Instª. e Instr.                        </v>
      </c>
      <c r="C17" s="239">
        <f t="shared" si="2"/>
        <v>2299</v>
      </c>
      <c r="D17" s="239">
        <f>IF(ISNUMBER(IF(D_I="SI",Datos!I17,Datos!I17+Datos!AC17)),IF(D_I="SI",Datos!I17,Datos!I17+Datos!AC17)," - ")</f>
        <v>2314</v>
      </c>
      <c r="E17" s="240">
        <f>IF(ISNUMBER(IF(D_I="SI",Datos!J17,Datos!J17+Datos!AD17)),IF(D_I="SI",Datos!J17,Datos!J17+Datos!AD17)," - ")</f>
        <v>6093</v>
      </c>
      <c r="F17" s="240">
        <f>IF(ISNUMBER(IF(D_I="SI",Datos!K17,Datos!K17+Datos!AE17)),IF(D_I="SI",Datos!K17,Datos!K17+Datos!AE17)," - ")</f>
        <v>6093</v>
      </c>
      <c r="G17" s="1392" t="str">
        <f>IF(Datos!E17&lt;&gt;"",Datos!E17,Datos!D17)</f>
        <v>04</v>
      </c>
      <c r="H17" s="241">
        <f>IF(ISNUMBER(IF(D_I="SI",Datos!L17,Datos!L17+Datos!AF17)),IF(D_I="SI",Datos!L17,Datos!L17+Datos!AF17)," - ")</f>
        <v>2299</v>
      </c>
      <c r="I17" s="1402" t="str">
        <f>IF(ISNUMBER(Datos!AS17/Datos!BM17),Datos!AS17/Datos!BM17," - ")</f>
        <v xml:space="preserve"> - </v>
      </c>
      <c r="J17" s="1403">
        <f>IF(ISNUMBER(Datos!BY17/Datos!CN17),Datos!BY17/Datos!CN17," - ")</f>
        <v>0</v>
      </c>
      <c r="K17" s="244">
        <f t="shared" si="3"/>
        <v>0</v>
      </c>
      <c r="L17" s="1404">
        <f>IF(ISNUMBER(NºAsuntos!I17/NºAsuntos!G17),(NºAsuntos!I17/NºAsuntos!G17)*11," - ")</f>
        <v>4.1505005744296737</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172</v>
      </c>
      <c r="D18" s="239">
        <f>IF(ISNUMBER(IF(D_I="SI",Datos!I18,Datos!I18+Datos!AC18)),IF(D_I="SI",Datos!I18,Datos!I18+Datos!AC18)," - ")</f>
        <v>172</v>
      </c>
      <c r="E18" s="240">
        <f>IF(ISNUMBER(IF(D_I="SI",Datos!J18,Datos!J18+Datos!AD18)),IF(D_I="SI",Datos!J18,Datos!J18+Datos!AD18)," - ")</f>
        <v>446</v>
      </c>
      <c r="F18" s="240">
        <f>IF(ISNUMBER(IF(D_I="SI",Datos!K18,Datos!K18+Datos!AE18)),IF(D_I="SI",Datos!K18,Datos!K18+Datos!AE18)," - ")</f>
        <v>480</v>
      </c>
      <c r="G18" s="1392" t="str">
        <f>IF(Datos!E18&lt;&gt;"",Datos!E18,Datos!D18)</f>
        <v>37</v>
      </c>
      <c r="H18" s="241">
        <f>IF(ISNUMBER(IF(D_I="SI",Datos!L18,Datos!L18+Datos!AF18)),IF(D_I="SI",Datos!L18,Datos!L18+Datos!AF18)," - ")</f>
        <v>138</v>
      </c>
      <c r="I18" s="1402" t="str">
        <f>IF(ISNUMBER(Datos!AS18/Datos!BM18),Datos!AS18/Datos!BM18," - ")</f>
        <v xml:space="preserve"> - </v>
      </c>
      <c r="J18" s="1403" t="str">
        <f>IF(ISNUMBER((Datos!BY18+Datos!BZ18)/Datos!CN18),(Datos!BY18+Datos!BZ18)/Datos!CN18," - ")</f>
        <v xml:space="preserve"> - </v>
      </c>
      <c r="K18" s="244">
        <f t="shared" si="3"/>
        <v>-0.19767441860465115</v>
      </c>
      <c r="L18" s="1404">
        <f>IF(ISNUMBER(NºAsuntos!I18/NºAsuntos!G18),(NºAsuntos!I18/NºAsuntos!G18)*11," - ")</f>
        <v>3.1624999999999996</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2471</v>
      </c>
      <c r="D23" s="1409">
        <f>SUBTOTAL(9,D16:D22)</f>
        <v>2486</v>
      </c>
      <c r="E23" s="1410">
        <f>SUBTOTAL(9,E16:E22)</f>
        <v>6539</v>
      </c>
      <c r="F23" s="1410">
        <f>SUBTOTAL(9,F16:F22)</f>
        <v>6573</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2500</v>
      </c>
      <c r="D31" s="1437">
        <f>SUBTOTAL(9,D9:D30)</f>
        <v>2515</v>
      </c>
      <c r="E31" s="1438">
        <f>SUBTOTAL(9,E9:E30)</f>
        <v>6626</v>
      </c>
      <c r="F31" s="1438">
        <f>SUBTOTAL(9,F9:F30)</f>
        <v>6643</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G7IhYNkF2z5ygQiBabXDHW9JYyldZAHJFXxO7P6ugNPptWSZi47f+vBAUjoq3VXdIMzGTMXRAIYeDjIQl104sA==" saltValue="P6cgbbj9sLYvHwJhfKJcT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3Jvr1xdeyctWE3RnbiZbXwhGe0ZMxLpr5fT6deqL6R3gcV8tZfss8iajqNbsAtBbNxpubxIQDajwSfMoZinkCQ==" saltValue="5VaaaHNsXrzxLIgID7je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29</v>
      </c>
      <c r="J10" s="194">
        <v>87</v>
      </c>
      <c r="K10" s="194">
        <v>70</v>
      </c>
      <c r="L10" s="194">
        <v>46</v>
      </c>
      <c r="M10" s="194">
        <v>27</v>
      </c>
      <c r="N10" s="194">
        <v>24</v>
      </c>
      <c r="O10" s="194">
        <v>15</v>
      </c>
      <c r="P10" s="194">
        <v>12</v>
      </c>
      <c r="Q10" s="194">
        <v>18</v>
      </c>
      <c r="R10" s="194">
        <v>69</v>
      </c>
      <c r="S10" s="194">
        <v>31</v>
      </c>
      <c r="T10" s="194">
        <v>76</v>
      </c>
      <c r="U10" s="194">
        <v>78</v>
      </c>
      <c r="V10" s="194">
        <v>29</v>
      </c>
      <c r="W10" s="194">
        <v>21</v>
      </c>
      <c r="X10" s="201">
        <v>31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31</v>
      </c>
      <c r="AZ10" s="139">
        <f t="shared" si="0"/>
        <v>76</v>
      </c>
      <c r="BA10" s="139">
        <f t="shared" si="0"/>
        <v>78</v>
      </c>
      <c r="BB10" s="139">
        <f t="shared" si="0"/>
        <v>29</v>
      </c>
      <c r="BC10" s="135">
        <f t="shared" si="0"/>
        <v>21</v>
      </c>
      <c r="BD10" s="136">
        <f>IF(ISNUMBER(BA10/AZ10),BA10/AZ10," - ")</f>
        <v>1.0263157894736843</v>
      </c>
      <c r="BE10" s="137">
        <f>IF(ISNUMBER(BB10/BA10),BB10/BA10, " - ")</f>
        <v>0.37179487179487181</v>
      </c>
      <c r="BF10" s="137">
        <f>IF(ISNUMBER(BC10/BA10),BC10/BA10, " - ")</f>
        <v>0.26923076923076922</v>
      </c>
      <c r="BG10" s="209">
        <f>IF(ISNUMBER((AY10+AZ10)/BA10),(AY10+AZ10)/BA10," - ")</f>
        <v>1.3717948717948718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6181</v>
      </c>
      <c r="J12" s="196">
        <v>7473</v>
      </c>
      <c r="K12" s="196">
        <v>7094</v>
      </c>
      <c r="L12" s="196">
        <v>6527</v>
      </c>
      <c r="M12" s="196">
        <v>1818</v>
      </c>
      <c r="N12" s="196">
        <v>2727</v>
      </c>
      <c r="O12" s="194">
        <v>3628</v>
      </c>
      <c r="P12" s="196">
        <v>1605</v>
      </c>
      <c r="Q12" s="196">
        <v>1964</v>
      </c>
      <c r="R12" s="196">
        <v>7473</v>
      </c>
      <c r="S12" s="196">
        <v>5030</v>
      </c>
      <c r="T12" s="196">
        <v>6167</v>
      </c>
      <c r="U12" s="196">
        <v>4906</v>
      </c>
      <c r="V12" s="196">
        <v>6181</v>
      </c>
      <c r="W12" s="196">
        <v>1095</v>
      </c>
      <c r="X12" s="202">
        <v>1703</v>
      </c>
      <c r="Y12" s="204">
        <v>186</v>
      </c>
      <c r="Z12" s="194">
        <v>401</v>
      </c>
      <c r="AA12" s="194">
        <v>436</v>
      </c>
      <c r="AB12" s="194">
        <v>159</v>
      </c>
      <c r="AC12" s="196">
        <v>0</v>
      </c>
      <c r="AD12" s="196">
        <v>0</v>
      </c>
      <c r="AE12" s="196">
        <v>0</v>
      </c>
      <c r="AF12" s="202">
        <v>0</v>
      </c>
      <c r="AG12" s="215">
        <v>175</v>
      </c>
      <c r="AH12" s="196">
        <v>253</v>
      </c>
      <c r="AI12" s="196">
        <v>214</v>
      </c>
      <c r="AJ12" s="216">
        <v>186</v>
      </c>
      <c r="AK12" s="195">
        <v>0</v>
      </c>
      <c r="AL12" s="196">
        <v>0</v>
      </c>
      <c r="AM12" s="196">
        <v>0</v>
      </c>
      <c r="AN12" s="202">
        <v>0</v>
      </c>
      <c r="AO12" s="283">
        <v>8</v>
      </c>
      <c r="AP12" s="168">
        <v>8</v>
      </c>
      <c r="AQ12" s="168">
        <v>8</v>
      </c>
      <c r="AR12" s="167">
        <v>8</v>
      </c>
      <c r="AS12" s="382" t="s">
        <v>1089</v>
      </c>
      <c r="AT12" s="216"/>
      <c r="AU12" s="215"/>
      <c r="AV12" s="216"/>
      <c r="AW12" s="215"/>
      <c r="AX12" s="216"/>
      <c r="AY12" s="136">
        <f t="shared" si="1"/>
        <v>5205</v>
      </c>
      <c r="AZ12" s="137">
        <f t="shared" si="1"/>
        <v>6420</v>
      </c>
      <c r="BA12" s="137">
        <f t="shared" si="1"/>
        <v>5120</v>
      </c>
      <c r="BB12" s="137">
        <f t="shared" si="1"/>
        <v>6367</v>
      </c>
      <c r="BC12" s="135">
        <f>IF(ISNUMBER(X12),X12," - ")</f>
        <v>1703</v>
      </c>
      <c r="BD12" s="136">
        <f t="shared" si="2"/>
        <v>0.79750778816199375</v>
      </c>
      <c r="BE12" s="137">
        <f t="shared" si="3"/>
        <v>1.2435546875000001</v>
      </c>
      <c r="BF12" s="137">
        <f t="shared" si="4"/>
        <v>0.33261718750000002</v>
      </c>
      <c r="BG12" s="209">
        <f t="shared" si="5"/>
        <v>2.2705078125</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6210</v>
      </c>
      <c r="J14" s="197">
        <f t="shared" si="7"/>
        <v>7560</v>
      </c>
      <c r="K14" s="197">
        <f t="shared" si="7"/>
        <v>7164</v>
      </c>
      <c r="L14" s="197">
        <f t="shared" si="7"/>
        <v>6573</v>
      </c>
      <c r="M14" s="197">
        <f t="shared" si="7"/>
        <v>1845</v>
      </c>
      <c r="N14" s="197">
        <f t="shared" si="7"/>
        <v>2751</v>
      </c>
      <c r="O14" s="197">
        <f t="shared" si="7"/>
        <v>3643</v>
      </c>
      <c r="P14" s="197">
        <f t="shared" si="7"/>
        <v>1617</v>
      </c>
      <c r="Q14" s="197">
        <f t="shared" si="7"/>
        <v>1982</v>
      </c>
      <c r="R14" s="197">
        <f t="shared" si="7"/>
        <v>7542</v>
      </c>
      <c r="S14" s="197">
        <f t="shared" si="7"/>
        <v>5061</v>
      </c>
      <c r="T14" s="197">
        <f t="shared" si="7"/>
        <v>6243</v>
      </c>
      <c r="U14" s="197">
        <f t="shared" si="7"/>
        <v>4984</v>
      </c>
      <c r="V14" s="197">
        <f t="shared" si="7"/>
        <v>6210</v>
      </c>
      <c r="W14" s="197">
        <f t="shared" si="7"/>
        <v>1116</v>
      </c>
      <c r="X14" s="197">
        <f t="shared" si="7"/>
        <v>1734</v>
      </c>
      <c r="Y14" s="197">
        <f t="shared" si="7"/>
        <v>186</v>
      </c>
      <c r="Z14" s="197">
        <f t="shared" si="7"/>
        <v>401</v>
      </c>
      <c r="AA14" s="197">
        <f t="shared" si="7"/>
        <v>436</v>
      </c>
      <c r="AB14" s="197">
        <f t="shared" si="7"/>
        <v>159</v>
      </c>
      <c r="AC14" s="197">
        <f t="shared" si="7"/>
        <v>0</v>
      </c>
      <c r="AD14" s="197">
        <f t="shared" si="7"/>
        <v>0</v>
      </c>
      <c r="AE14" s="197">
        <f t="shared" si="7"/>
        <v>0</v>
      </c>
      <c r="AF14" s="197">
        <f>SUBTOTAL(9,AF9:AF13)</f>
        <v>0</v>
      </c>
      <c r="AG14" s="197">
        <f t="shared" ref="AG14:AT14" si="8">SUBTOTAL(9,AG8:AG13)</f>
        <v>175</v>
      </c>
      <c r="AH14" s="197">
        <f t="shared" si="8"/>
        <v>253</v>
      </c>
      <c r="AI14" s="197">
        <f t="shared" si="8"/>
        <v>214</v>
      </c>
      <c r="AJ14" s="197">
        <f t="shared" si="8"/>
        <v>186</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5236</v>
      </c>
      <c r="AZ14" s="197">
        <f>SUBTOTAL(9,AZ8:AZ13)</f>
        <v>6496</v>
      </c>
      <c r="BA14" s="197">
        <f>SUBTOTAL(9,BA8:BA13)</f>
        <v>5198</v>
      </c>
      <c r="BB14" s="197">
        <f>SUBTOTAL(9,BB8:BB13)</f>
        <v>6396</v>
      </c>
      <c r="BC14" s="197">
        <f>SUBTOTAL(9,BC8:BC13)</f>
        <v>1724</v>
      </c>
      <c r="BD14" s="219">
        <f>IF(ISNUMBER(BA14/AZ14),BA14/AZ14," - ")</f>
        <v>0.80018472906403937</v>
      </c>
      <c r="BE14" s="220">
        <f>IF(ISNUMBER(BB14/BA14),BB14/BA14, " - ")</f>
        <v>1.2304732589457483</v>
      </c>
      <c r="BF14" s="220">
        <f>IF(ISNUMBER(BC14/BA14),BC14/BA14, " - ")</f>
        <v>0.33166602539438245</v>
      </c>
      <c r="BG14" s="221">
        <f>IF(ISNUMBER((AY14+AZ14)/BA14),(AY14+AZ14)/BA14," - ")</f>
        <v>2.2570219315121198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2314</v>
      </c>
      <c r="J17" s="196">
        <v>6093</v>
      </c>
      <c r="K17" s="196">
        <v>6093</v>
      </c>
      <c r="L17" s="196">
        <v>2299</v>
      </c>
      <c r="M17" s="196">
        <v>887</v>
      </c>
      <c r="N17" s="196">
        <v>3618</v>
      </c>
      <c r="O17" s="194">
        <v>57</v>
      </c>
      <c r="P17" s="196">
        <v>296</v>
      </c>
      <c r="Q17" s="196">
        <v>238</v>
      </c>
      <c r="R17" s="196">
        <v>398</v>
      </c>
      <c r="S17" s="196">
        <v>1825</v>
      </c>
      <c r="T17" s="196">
        <v>5303</v>
      </c>
      <c r="U17" s="196">
        <v>4906</v>
      </c>
      <c r="V17" s="196">
        <v>2314</v>
      </c>
      <c r="W17" s="196">
        <v>584</v>
      </c>
      <c r="X17" s="202">
        <v>3204</v>
      </c>
      <c r="Y17" s="215">
        <v>0</v>
      </c>
      <c r="Z17" s="196">
        <v>0</v>
      </c>
      <c r="AA17" s="196">
        <v>0</v>
      </c>
      <c r="AB17" s="196">
        <v>0</v>
      </c>
      <c r="AC17" s="196">
        <v>2</v>
      </c>
      <c r="AD17" s="196">
        <v>463</v>
      </c>
      <c r="AE17" s="196">
        <v>463</v>
      </c>
      <c r="AF17" s="202">
        <v>2</v>
      </c>
      <c r="AG17" s="215">
        <v>0</v>
      </c>
      <c r="AH17" s="196">
        <v>0</v>
      </c>
      <c r="AI17" s="196">
        <v>0</v>
      </c>
      <c r="AJ17" s="216">
        <v>0</v>
      </c>
      <c r="AK17" s="195">
        <v>6</v>
      </c>
      <c r="AL17" s="196">
        <v>405</v>
      </c>
      <c r="AM17" s="196">
        <v>409</v>
      </c>
      <c r="AN17" s="202">
        <v>2</v>
      </c>
      <c r="AO17" s="283">
        <v>8</v>
      </c>
      <c r="AP17" s="168">
        <v>8</v>
      </c>
      <c r="AQ17" s="168">
        <v>8</v>
      </c>
      <c r="AR17" s="168">
        <v>8</v>
      </c>
      <c r="AS17" s="382" t="s">
        <v>653</v>
      </c>
      <c r="AT17" s="216"/>
      <c r="AU17" s="215"/>
      <c r="AV17" s="216"/>
      <c r="AW17" s="215"/>
      <c r="AX17" s="216"/>
      <c r="AY17" s="136">
        <f t="shared" si="10"/>
        <v>1825</v>
      </c>
      <c r="AZ17" s="137">
        <f t="shared" si="10"/>
        <v>5303</v>
      </c>
      <c r="BA17" s="137">
        <f t="shared" si="10"/>
        <v>4906</v>
      </c>
      <c r="BB17" s="137">
        <f t="shared" si="10"/>
        <v>2314</v>
      </c>
      <c r="BC17" s="135">
        <f>IF(ISNUMBER(W17),W17," - ")</f>
        <v>584</v>
      </c>
      <c r="BD17" s="136">
        <f t="shared" ref="BD17:BD22" si="12">IF(ISNUMBER(BA17/AZ17),BA17/AZ17," - ")</f>
        <v>0.92513671506694328</v>
      </c>
      <c r="BE17" s="137">
        <f t="shared" ref="BE17:BE22" si="13">IF(ISNUMBER(BB17/BA17),BB17/BA17, " - ")</f>
        <v>0.47166734610680799</v>
      </c>
      <c r="BF17" s="137">
        <f t="shared" ref="BF17:BF22" si="14">IF(ISNUMBER(BC17/BA17),BC17/BA17, " - ")</f>
        <v>0.11903791275988586</v>
      </c>
      <c r="BG17" s="209">
        <f t="shared" si="11"/>
        <v>1.452914798206278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172</v>
      </c>
      <c r="J18" s="196">
        <v>446</v>
      </c>
      <c r="K18" s="196">
        <v>480</v>
      </c>
      <c r="L18" s="196">
        <v>138</v>
      </c>
      <c r="M18" s="196">
        <v>50</v>
      </c>
      <c r="N18" s="196">
        <v>210</v>
      </c>
      <c r="O18" s="196">
        <v>1</v>
      </c>
      <c r="P18" s="196">
        <v>8</v>
      </c>
      <c r="Q18" s="196">
        <v>3</v>
      </c>
      <c r="R18" s="196">
        <v>12</v>
      </c>
      <c r="S18" s="196">
        <v>135</v>
      </c>
      <c r="T18" s="196">
        <v>457</v>
      </c>
      <c r="U18" s="196">
        <v>420</v>
      </c>
      <c r="V18" s="196">
        <v>172</v>
      </c>
      <c r="W18" s="196">
        <v>49</v>
      </c>
      <c r="X18" s="202">
        <v>216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135</v>
      </c>
      <c r="AZ18" s="139">
        <f t="shared" si="15"/>
        <v>457</v>
      </c>
      <c r="BA18" s="139">
        <f t="shared" si="15"/>
        <v>420</v>
      </c>
      <c r="BB18" s="139">
        <f t="shared" si="15"/>
        <v>172</v>
      </c>
      <c r="BC18" s="135">
        <f>IF(ISNUMBER(W18),W18," - ")</f>
        <v>49</v>
      </c>
      <c r="BD18" s="136">
        <f>IF(ISNUMBER(BA18/AZ18),BA18/AZ18," - ")</f>
        <v>0.91903719912472648</v>
      </c>
      <c r="BE18" s="137">
        <f>IF(ISNUMBER(BB18/BA18),BB18/BA18, " - ")</f>
        <v>0.40952380952380951</v>
      </c>
      <c r="BF18" s="137">
        <f>IF(ISNUMBER(BC18/BA18),BC18/BA18, " - ")</f>
        <v>0.11666666666666667</v>
      </c>
      <c r="BG18" s="209">
        <f>IF(ISNUMBER((AY18+AZ18)/BA18),(AY18+AZ18)/BA18," - ")</f>
        <v>1.4095238095238096</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2486</v>
      </c>
      <c r="J23" s="197">
        <f t="shared" si="21"/>
        <v>6539</v>
      </c>
      <c r="K23" s="197">
        <f t="shared" si="21"/>
        <v>6573</v>
      </c>
      <c r="L23" s="197">
        <f t="shared" si="21"/>
        <v>2437</v>
      </c>
      <c r="M23" s="197">
        <f t="shared" si="21"/>
        <v>937</v>
      </c>
      <c r="N23" s="197">
        <f t="shared" si="21"/>
        <v>3828</v>
      </c>
      <c r="O23" s="197">
        <f t="shared" si="21"/>
        <v>58</v>
      </c>
      <c r="P23" s="197">
        <f t="shared" si="21"/>
        <v>304</v>
      </c>
      <c r="Q23" s="197">
        <f t="shared" si="21"/>
        <v>241</v>
      </c>
      <c r="R23" s="197">
        <f t="shared" si="21"/>
        <v>410</v>
      </c>
      <c r="S23" s="197">
        <f t="shared" si="21"/>
        <v>1960</v>
      </c>
      <c r="T23" s="197">
        <f t="shared" si="21"/>
        <v>5760</v>
      </c>
      <c r="U23" s="197">
        <f t="shared" si="21"/>
        <v>5326</v>
      </c>
      <c r="V23" s="197">
        <f t="shared" si="21"/>
        <v>2486</v>
      </c>
      <c r="W23" s="197">
        <f t="shared" si="21"/>
        <v>633</v>
      </c>
      <c r="X23" s="197">
        <f t="shared" si="21"/>
        <v>3420</v>
      </c>
      <c r="Y23" s="197">
        <f t="shared" si="21"/>
        <v>0</v>
      </c>
      <c r="Z23" s="197">
        <f t="shared" si="21"/>
        <v>0</v>
      </c>
      <c r="AA23" s="197">
        <f t="shared" si="21"/>
        <v>0</v>
      </c>
      <c r="AB23" s="197">
        <f t="shared" si="21"/>
        <v>0</v>
      </c>
      <c r="AC23" s="197">
        <f t="shared" si="21"/>
        <v>2</v>
      </c>
      <c r="AD23" s="197">
        <f t="shared" si="21"/>
        <v>463</v>
      </c>
      <c r="AE23" s="197">
        <f t="shared" si="21"/>
        <v>463</v>
      </c>
      <c r="AF23" s="197">
        <f t="shared" si="21"/>
        <v>2</v>
      </c>
      <c r="AG23" s="197">
        <f t="shared" si="21"/>
        <v>0</v>
      </c>
      <c r="AH23" s="197">
        <f t="shared" si="21"/>
        <v>0</v>
      </c>
      <c r="AI23" s="197">
        <f t="shared" si="21"/>
        <v>0</v>
      </c>
      <c r="AJ23" s="197">
        <f t="shared" si="21"/>
        <v>0</v>
      </c>
      <c r="AK23" s="197">
        <f t="shared" si="21"/>
        <v>6</v>
      </c>
      <c r="AL23" s="197">
        <f t="shared" si="21"/>
        <v>405</v>
      </c>
      <c r="AM23" s="197">
        <f t="shared" si="21"/>
        <v>409</v>
      </c>
      <c r="AN23" s="197">
        <f t="shared" si="21"/>
        <v>2</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1960</v>
      </c>
      <c r="AZ23" s="197">
        <f>SUBTOTAL(9,AZ15:AZ22)</f>
        <v>5760</v>
      </c>
      <c r="BA23" s="197">
        <f>SUBTOTAL(9,BA15:BA22)</f>
        <v>5326</v>
      </c>
      <c r="BB23" s="197">
        <f>SUBTOTAL(9,BB15:BB22)</f>
        <v>2486</v>
      </c>
      <c r="BC23" s="197">
        <f>SUBTOTAL(9,BC15:BC22)</f>
        <v>633</v>
      </c>
      <c r="BD23" s="219">
        <f>IF(ISNUMBER(BA23/AZ23),BA23/AZ23," - ")</f>
        <v>0.92465277777777777</v>
      </c>
      <c r="BE23" s="220">
        <f>IF(ISNUMBER(BB23/BA23),BB23/BA23, " - ")</f>
        <v>0.4667668043559895</v>
      </c>
      <c r="BF23" s="220">
        <f>IF(ISNUMBER(BC23/BA23),BC23/BA23, " - ")</f>
        <v>0.11885092001502065</v>
      </c>
      <c r="BG23" s="221">
        <f>IF(ISNUMBER((AY23+AZ23)/BA23),(AY23+AZ23)/BA23," - ")</f>
        <v>1.4494930529478032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8696</v>
      </c>
      <c r="J31" s="144">
        <f t="shared" si="36"/>
        <v>14099</v>
      </c>
      <c r="K31" s="144">
        <f t="shared" si="36"/>
        <v>13737</v>
      </c>
      <c r="L31" s="144">
        <f t="shared" si="36"/>
        <v>9010</v>
      </c>
      <c r="M31" s="144">
        <f t="shared" si="36"/>
        <v>2782</v>
      </c>
      <c r="N31" s="144">
        <f t="shared" si="36"/>
        <v>6579</v>
      </c>
      <c r="O31" s="144">
        <f t="shared" si="36"/>
        <v>3701</v>
      </c>
      <c r="P31" s="144">
        <f t="shared" si="36"/>
        <v>1921</v>
      </c>
      <c r="Q31" s="144">
        <f t="shared" si="36"/>
        <v>2223</v>
      </c>
      <c r="R31" s="144">
        <f t="shared" si="36"/>
        <v>7952</v>
      </c>
      <c r="S31" s="144">
        <f t="shared" si="36"/>
        <v>7021</v>
      </c>
      <c r="T31" s="144">
        <f t="shared" si="36"/>
        <v>12003</v>
      </c>
      <c r="U31" s="144">
        <f t="shared" si="36"/>
        <v>10310</v>
      </c>
      <c r="V31" s="144">
        <f t="shared" si="36"/>
        <v>8696</v>
      </c>
      <c r="W31" s="144">
        <f t="shared" si="36"/>
        <v>1749</v>
      </c>
      <c r="X31" s="144">
        <f t="shared" si="36"/>
        <v>5154</v>
      </c>
      <c r="Y31" s="144">
        <f t="shared" si="36"/>
        <v>186</v>
      </c>
      <c r="Z31" s="144">
        <f t="shared" si="36"/>
        <v>401</v>
      </c>
      <c r="AA31" s="144">
        <f t="shared" si="36"/>
        <v>436</v>
      </c>
      <c r="AB31" s="144">
        <f t="shared" si="36"/>
        <v>159</v>
      </c>
      <c r="AC31" s="144">
        <f t="shared" si="36"/>
        <v>2</v>
      </c>
      <c r="AD31" s="144">
        <f t="shared" si="36"/>
        <v>463</v>
      </c>
      <c r="AE31" s="144">
        <f t="shared" si="36"/>
        <v>463</v>
      </c>
      <c r="AF31" s="144">
        <f t="shared" si="36"/>
        <v>2</v>
      </c>
      <c r="AG31" s="144">
        <f t="shared" si="36"/>
        <v>175</v>
      </c>
      <c r="AH31" s="144">
        <f t="shared" si="36"/>
        <v>253</v>
      </c>
      <c r="AI31" s="144">
        <f t="shared" si="36"/>
        <v>214</v>
      </c>
      <c r="AJ31" s="144">
        <f t="shared" si="36"/>
        <v>186</v>
      </c>
      <c r="AK31" s="144">
        <f t="shared" si="36"/>
        <v>6</v>
      </c>
      <c r="AL31" s="144">
        <f t="shared" si="36"/>
        <v>405</v>
      </c>
      <c r="AM31" s="144">
        <f t="shared" si="36"/>
        <v>409</v>
      </c>
      <c r="AN31" s="224">
        <f t="shared" si="36"/>
        <v>2</v>
      </c>
      <c r="AO31" s="225">
        <v>9</v>
      </c>
      <c r="AP31" s="225">
        <v>8</v>
      </c>
      <c r="AQ31" s="225">
        <v>8</v>
      </c>
      <c r="AR31" s="225">
        <v>8</v>
      </c>
      <c r="AS31" s="166">
        <f t="shared" si="36"/>
        <v>0</v>
      </c>
      <c r="AT31" s="166">
        <f t="shared" si="36"/>
        <v>0</v>
      </c>
      <c r="AU31" s="225"/>
      <c r="AV31" s="226"/>
      <c r="AW31" s="225"/>
      <c r="AX31" s="226"/>
      <c r="AY31" s="143">
        <f>SUBTOTAL(9,AY9:AY30)</f>
        <v>7196</v>
      </c>
      <c r="AZ31" s="144">
        <f>SUBTOTAL(9,AZ9:AZ30)</f>
        <v>12256</v>
      </c>
      <c r="BA31" s="144">
        <f>SUBTOTAL(9,BA9:BA30)</f>
        <v>10524</v>
      </c>
      <c r="BB31" s="144">
        <f>SUBTOTAL(9,BB9:BB30)</f>
        <v>8882</v>
      </c>
      <c r="BC31" s="145">
        <f>SUBTOTAL(9,BC9:BC30)</f>
        <v>2357</v>
      </c>
      <c r="BD31" s="227">
        <f>IF(ISNUMBER(BA31/AZ31),BA31/AZ31," - ")</f>
        <v>0.85868146214099217</v>
      </c>
      <c r="BE31" s="224">
        <f>IF(ISNUMBER(BB31/BA31),BB31/BA31, " - ")</f>
        <v>0.8439756746484226</v>
      </c>
      <c r="BF31" s="224">
        <f>IF(ISNUMBER(BC31/BA31),BC31/BA31, " - ")</f>
        <v>0.22396427213987077</v>
      </c>
      <c r="BG31" s="145">
        <f>IF(ISNUMBER((AY31+AZ31)/BA31),(AY31+AZ31)/BA31," - ")</f>
        <v>1.8483466362599772</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6hTroJWZZmy08lFxdWZvKs4lsJqTpu1Uo82pAIfA+ORPirHg4y2w6/FY4iF8m7zlN+lk33pZr+yyq8dZb8t2g==" saltValue="NeIipXHInfJqNLDfmkSRFA=="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Tu6WrGQtNr8SyWdFgmnfB7OqKU1O/rWX07k1wRqFlMrxpOGkoGQ1fmxvtqxzbNCbwPv8SyLzBG7BPDe67FPjQ==" saltValue="rSiNQxyBKq0rCifm0yF1H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RUBI</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29</v>
      </c>
      <c r="G10" s="547">
        <f>IF(ISNUMBER(Datos!I10),Datos!I10," - ")</f>
        <v>29</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12</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70</v>
      </c>
      <c r="AC10" s="551">
        <f>IF(ISNUMBER(Datos!Q10),Datos!Q10," - ")</f>
        <v>18</v>
      </c>
      <c r="AD10" s="553"/>
      <c r="AE10" s="567"/>
      <c r="AF10" s="555">
        <f>IF(ISNUMBER(Datos!L10),Datos!L10,"-")</f>
        <v>46</v>
      </c>
      <c r="AG10" s="553"/>
      <c r="AH10" s="553"/>
      <c r="AI10" s="553"/>
      <c r="AJ10" s="553"/>
      <c r="AK10" s="553"/>
      <c r="AL10" s="554"/>
      <c r="AM10" s="771">
        <f>IF(ISNUMBER(Datos!R10),Datos!R10," - ")</f>
        <v>69</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27</v>
      </c>
      <c r="BD10" s="697">
        <f>IF(ISNUMBER(Datos!N10),Datos!N10," - ")</f>
        <v>24</v>
      </c>
      <c r="BE10" s="697" t="str">
        <f>IF(ISNUMBER(Datos!BW10),Datos!BW10," - ")</f>
        <v xml:space="preserve"> - </v>
      </c>
      <c r="BF10" s="767" t="str">
        <f>IF(ISNUMBER(Datos!BX10),Datos!BX10," - ")</f>
        <v xml:space="preserve"> - </v>
      </c>
      <c r="BG10" s="768">
        <f>IF(ISNUMBER(Datos!K10/Datos!J10),Datos!K10/Datos!J10," - ")</f>
        <v>0.8045977011494253</v>
      </c>
      <c r="BH10" s="769">
        <f>IF(ISNUMBER(((Datos!L10/Datos!K10)*11)/factor_trimestre),((Datos!L10/Datos!K10)*11)/factor_trimestre," - ")</f>
        <v>7.2285714285714286</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-0.08</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8</v>
      </c>
      <c r="B12" s="750" t="s">
        <v>324</v>
      </c>
      <c r="C12" s="751" t="str">
        <f>Datos!A12</f>
        <v xml:space="preserve">Jdos. 1ª Instª. e Instr.                        </v>
      </c>
      <c r="D12" s="605"/>
      <c r="E12" s="553">
        <f>IF(ISNUMBER(Datos!AQ12),Datos!AQ12," - ")</f>
        <v>8</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401</v>
      </c>
      <c r="O12" s="553"/>
      <c r="P12" s="553"/>
      <c r="Q12" s="551">
        <f>IF(ISNUMBER(Datos!P12),Datos!P12,0)</f>
        <v>1605</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1964</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159</v>
      </c>
      <c r="AI12" s="553" t="str">
        <f>IF(ISNUMBER(Datos!CD12),Datos!CD12,"-")</f>
        <v>-</v>
      </c>
      <c r="AJ12" s="553" t="str">
        <f>IF(ISNUMBER(Datos!EN12),Datos!EN12," - ")</f>
        <v xml:space="preserve"> - </v>
      </c>
      <c r="AK12" s="553"/>
      <c r="AL12" s="554"/>
      <c r="AM12" s="771">
        <f>IF(ISNUMBER(Datos!R12),Datos!R12," - ")</f>
        <v>7473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1818</v>
      </c>
      <c r="BD12" s="697">
        <f>IF(ISNUMBER(Datos!N12),Datos!N12," - ")</f>
        <v>2727</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0.9563119126238252</v>
      </c>
      <c r="BH12" s="769">
        <f>IF(ISNUMBER(((IF(J_V="SI",Datos!L12/Datos!K12,(Datos!L12+Datos!AB12)/(Datos!K12+Datos!AA12)))*11)/factor_trimestre),((IF(J_V="SI",Datos!L12/Datos!K12,(Datos!L12+Datos!AB12)/(Datos!K12+Datos!AA12)))*11)/factor_trimestre," - ")</f>
        <v>9.7670650730411683</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-4.5837589376915219E-2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8</v>
      </c>
      <c r="F14" s="1200">
        <f t="shared" si="1"/>
        <v>29</v>
      </c>
      <c r="G14" s="1200">
        <f t="shared" si="1"/>
        <v>29</v>
      </c>
      <c r="H14" s="1201">
        <f t="shared" si="1"/>
        <v>0</v>
      </c>
      <c r="I14" s="1200">
        <f t="shared" si="1"/>
        <v>0</v>
      </c>
      <c r="J14" s="1167">
        <f t="shared" si="1"/>
        <v>0</v>
      </c>
      <c r="K14" s="1167">
        <f t="shared" si="1"/>
        <v>0</v>
      </c>
      <c r="L14" s="1201">
        <f t="shared" si="1"/>
        <v>0</v>
      </c>
      <c r="M14" s="1201">
        <f t="shared" si="1"/>
        <v>0</v>
      </c>
      <c r="N14" s="1201">
        <f t="shared" si="1"/>
        <v>401</v>
      </c>
      <c r="O14" s="1202">
        <f t="shared" si="1"/>
        <v>0</v>
      </c>
      <c r="P14" s="1202">
        <f t="shared" si="1"/>
        <v>0</v>
      </c>
      <c r="Q14" s="1201">
        <f t="shared" si="1"/>
        <v>1617</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70</v>
      </c>
      <c r="AC14" s="1201">
        <f t="shared" si="2"/>
        <v>1982</v>
      </c>
      <c r="AD14" s="1201">
        <f t="shared" si="2"/>
        <v>0</v>
      </c>
      <c r="AE14" s="1201">
        <f t="shared" si="2"/>
        <v>0</v>
      </c>
      <c r="AF14" s="1201">
        <f t="shared" si="2"/>
        <v>46</v>
      </c>
      <c r="AG14" s="1201">
        <f t="shared" si="2"/>
        <v>0</v>
      </c>
      <c r="AH14" s="1201">
        <f t="shared" si="2"/>
        <v>159</v>
      </c>
      <c r="AI14" s="1201">
        <f t="shared" si="2"/>
        <v>0</v>
      </c>
      <c r="AJ14" s="1201">
        <f t="shared" si="2"/>
        <v>0</v>
      </c>
      <c r="AK14" s="1201">
        <f t="shared" si="2"/>
        <v>0</v>
      </c>
      <c r="AL14" s="1201">
        <f t="shared" si="2"/>
        <v>0</v>
      </c>
      <c r="AM14" s="1201">
        <f t="shared" si="2"/>
        <v>7542</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1845</v>
      </c>
      <c r="BD14" s="1201">
        <f t="shared" si="2"/>
        <v>2751</v>
      </c>
      <c r="BE14" s="1201">
        <f t="shared" si="2"/>
        <v>0</v>
      </c>
      <c r="BF14" s="1201">
        <f t="shared" si="2"/>
        <v>0</v>
      </c>
      <c r="BG14" s="1201">
        <f>IF(ISNUMBER(Datos!K14/Datos!J14),Datos!K14/Datos!J14," - ")</f>
        <v>0.94761904761904758</v>
      </c>
      <c r="BH14" s="1205">
        <f>IF(ISNUMBER(((Datos!L14/Datos!K14)*11)/factor_trimestre),((Datos!L14/Datos!K14)*11)/factor_trimestre," - ")</f>
        <v>10.092546063651591</v>
      </c>
      <c r="BI14" s="1201">
        <f>IF(ISNUMBER('Resol  Asuntos'!D14/NºAsuntos!G14),'Resol  Asuntos'!D14/NºAsuntos!G14," - ")</f>
        <v>0.24276315789473685</v>
      </c>
      <c r="BJ14" s="1201" t="str">
        <f>IF(ISNUMBER(Datos!CI14/Datos!CJ14),Datos!CI14/Datos!CJ14," - ")</f>
        <v xml:space="preserve"> - </v>
      </c>
      <c r="BK14" s="1201">
        <f>SUBTOTAL(9,BK8:BK13)</f>
        <v>0</v>
      </c>
      <c r="BL14" s="1201">
        <f>IF(ISNUMBER((I14-AB14+L14)/(F14)),(I14-AB14+L14)/(F14)," - ")</f>
        <v>-2.4137931034482758</v>
      </c>
      <c r="BM14" s="1206">
        <f>SUBTOTAL(9,BM9:BM13)</f>
        <v>-0.12583758937691522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8</v>
      </c>
      <c r="B17" s="741" t="s">
        <v>515</v>
      </c>
      <c r="C17" s="754" t="str">
        <f>Datos!A17</f>
        <v xml:space="preserve">Jdos. 1ª Instª. e Instr.                        </v>
      </c>
      <c r="D17" s="755"/>
      <c r="E17" s="746">
        <f>IF(ISNUMBER(Datos!AQ17),Datos!AQ17," - ")</f>
        <v>8</v>
      </c>
      <c r="F17" s="744">
        <f>IF(ISNUMBER(AF17+AB17-Datos!J17-L17),AF17+AB17-Datos!J17-L17," - ")</f>
        <v>2299</v>
      </c>
      <c r="G17" s="747">
        <f>IF(ISNUMBER(IF(D_I="SI",Datos!I17,Datos!I17+Datos!AC17)),IF(D_I="SI",Datos!I17,Datos!I17+Datos!AC17)," - ")</f>
        <v>2314</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296</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6093</v>
      </c>
      <c r="AC17" s="240">
        <f>IF(ISNUMBER(Datos!Q17),Datos!Q17," - ")</f>
        <v>238</v>
      </c>
      <c r="AD17" s="374"/>
      <c r="AE17" s="566"/>
      <c r="AF17" s="745">
        <f>IF(ISNUMBER(IF(D_I="SI",Datos!L17,Datos!L17+Datos!AF17)),IF(D_I="SI",Datos!L17,Datos!L17+Datos!AF17)," - ")</f>
        <v>2299</v>
      </c>
      <c r="AG17" s="374"/>
      <c r="AH17" s="374"/>
      <c r="AI17" s="374"/>
      <c r="AJ17" s="553"/>
      <c r="AK17" s="374"/>
      <c r="AL17" s="549"/>
      <c r="AM17" s="375">
        <f>IF(ISNUMBER(Datos!R17),Datos!R17," - ")</f>
        <v>398</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887</v>
      </c>
      <c r="BD17" s="243">
        <f>IF(ISNUMBER(Datos!N17),Datos!N17," - ")</f>
        <v>3618</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v>
      </c>
      <c r="BH17" s="769">
        <f>IF(ISNUMBER(((IF(D_I="SI",Datos!L17/Datos!K17,(Datos!L17+Datos!AF17)/(Datos!K17+Datos!AE17)))*11)/factor_trimestre),((IF(D_I="SI",Datos!L17/Datos!K17,(Datos!L17+Datos!AF17)/(Datos!K17+Datos!AE17)))*11)/factor_trimestre," - ")</f>
        <v>4.1505005744296737</v>
      </c>
      <c r="BI17" s="266">
        <f>IF(ISNUMBER('Resol  Asuntos'!D17/NºAsuntos!G17),'Resol  Asuntos'!D17/NºAsuntos!G17," - ")</f>
        <v>0.14557689151485312</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172</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8</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480</v>
      </c>
      <c r="AC18" s="551">
        <f>IF(ISNUMBER(Datos!Q18),Datos!Q18," - ")</f>
        <v>3</v>
      </c>
      <c r="AD18" s="553"/>
      <c r="AE18" s="566"/>
      <c r="AF18" s="555">
        <f>IF(ISNUMBER(Datos!L18),Datos!L18,"-")</f>
        <v>138</v>
      </c>
      <c r="AG18" s="553"/>
      <c r="AH18" s="553"/>
      <c r="AI18" s="553"/>
      <c r="AJ18" s="553"/>
      <c r="AK18" s="553"/>
      <c r="AL18" s="554"/>
      <c r="AM18" s="771">
        <f>IF(ISNUMBER(Datos!R18),Datos!R18," - ")</f>
        <v>12</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50</v>
      </c>
      <c r="BD18" s="697">
        <f>IF(ISNUMBER(Datos!N18),Datos!N18," - ")</f>
        <v>210</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1.0762331838565022</v>
      </c>
      <c r="BH18" s="769">
        <f>IF(ISNUMBER(((IF(D_I="SI",Datos!L18/Datos!K18,(Datos!L18+Datos!AF18)/(Datos!K18+Datos!AE18)))*11)/factor_trimestre),((IF(D_I="SI",Datos!L18/Datos!K18,(Datos!L18+Datos!AF18)/(Datos!K18+Datos!AE18)))*11)/factor_trimestre," - ")</f>
        <v>3.1624999999999996</v>
      </c>
      <c r="BI18" s="768">
        <f>IF(ISNUMBER('Resol  Asuntos'!D18/NºAsuntos!G18),'Resol  Asuntos'!D18/NºAsuntos!G18," - ")</f>
        <v>0.10416666666666667</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8</v>
      </c>
      <c r="F23" s="1200">
        <f>SUBTOTAL(9,F16:F22)</f>
        <v>2299</v>
      </c>
      <c r="G23" s="1200">
        <f>SUBTOTAL(9,G16:G22)</f>
        <v>2486</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304</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6573</v>
      </c>
      <c r="AC23" s="1201">
        <f t="shared" si="5"/>
        <v>241</v>
      </c>
      <c r="AD23" s="1201">
        <f t="shared" si="5"/>
        <v>0</v>
      </c>
      <c r="AE23" s="1201">
        <f t="shared" si="5"/>
        <v>0</v>
      </c>
      <c r="AF23" s="1201">
        <f t="shared" si="5"/>
        <v>2437</v>
      </c>
      <c r="AG23" s="1201">
        <f t="shared" si="5"/>
        <v>0</v>
      </c>
      <c r="AH23" s="1201">
        <f t="shared" si="5"/>
        <v>0</v>
      </c>
      <c r="AI23" s="1201">
        <f t="shared" si="5"/>
        <v>0</v>
      </c>
      <c r="AJ23" s="1201">
        <f t="shared" si="5"/>
        <v>0</v>
      </c>
      <c r="AK23" s="1201">
        <f t="shared" si="5"/>
        <v>0</v>
      </c>
      <c r="AL23" s="1201">
        <f t="shared" si="5"/>
        <v>0</v>
      </c>
      <c r="AM23" s="1201">
        <f t="shared" si="5"/>
        <v>410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937</v>
      </c>
      <c r="BD23" s="1201">
        <f t="shared" si="5"/>
        <v>3828</v>
      </c>
      <c r="BE23" s="1201">
        <f t="shared" si="5"/>
        <v>0</v>
      </c>
      <c r="BF23" s="1201">
        <f t="shared" si="5"/>
        <v>0</v>
      </c>
      <c r="BG23" s="1201">
        <f>IF(ISNUMBER(Datos!K23/Datos!J23),Datos!K23/Datos!J23," - ")</f>
        <v>1.0051995717999693</v>
      </c>
      <c r="BH23" s="1205">
        <f>IF(ISNUMBER(((Datos!L23/Datos!K23)*11)/factor_trimestre),((Datos!L23/Datos!K23)*11)/factor_trimestre," - ")</f>
        <v>4.0783508291495512</v>
      </c>
      <c r="BI23" s="1201">
        <f>SUBTOTAL(9,BI16:BI22)</f>
        <v>0.24974355818151978</v>
      </c>
      <c r="BJ23" s="1201">
        <f>SUBTOTAL(9,BJ16:BJ22)</f>
        <v>0</v>
      </c>
      <c r="BK23" s="1201">
        <f>SUBTOTAL(9,BK16:BK22)</f>
        <v>0</v>
      </c>
      <c r="BL23" s="1201">
        <f>IF(ISNUMBER((I23-AB23+L23)/(F23)),(I23-AB23+L23)/(F23)," - ")</f>
        <v>-2.8590691605045673</v>
      </c>
      <c r="BM23" s="1208">
        <f>IF(ISNUMBER((Datos!P23-Datos!Q23)/(Datos!R23-Datos!P23+Datos!Q23)),(Datos!P23-Datos!Q23)/(Datos!R23-Datos!P23+Datos!Q23)," - ")</f>
        <v>0.18155619596541786</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16</v>
      </c>
      <c r="F31" s="1120">
        <f t="shared" si="16"/>
        <v>2328</v>
      </c>
      <c r="G31" s="1120">
        <f t="shared" si="16"/>
        <v>2515</v>
      </c>
      <c r="H31" s="1122">
        <f t="shared" si="16"/>
        <v>0</v>
      </c>
      <c r="I31" s="1120">
        <f t="shared" si="16"/>
        <v>0</v>
      </c>
      <c r="J31" s="1122">
        <f t="shared" si="16"/>
        <v>0</v>
      </c>
      <c r="K31" s="1122">
        <f t="shared" si="16"/>
        <v>0</v>
      </c>
      <c r="L31" s="1183">
        <f t="shared" si="16"/>
        <v>0</v>
      </c>
      <c r="M31" s="1183">
        <f t="shared" si="16"/>
        <v>0</v>
      </c>
      <c r="N31" s="1183">
        <f t="shared" si="16"/>
        <v>401</v>
      </c>
      <c r="O31" s="1183">
        <f t="shared" si="16"/>
        <v>0</v>
      </c>
      <c r="P31" s="1183">
        <f t="shared" si="16"/>
        <v>0</v>
      </c>
      <c r="Q31" s="1122">
        <f t="shared" si="16"/>
        <v>1921</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6643</v>
      </c>
      <c r="AC31" s="1121">
        <f t="shared" si="17"/>
        <v>2223</v>
      </c>
      <c r="AD31" s="1121">
        <f t="shared" si="17"/>
        <v>0</v>
      </c>
      <c r="AE31" s="1121">
        <f t="shared" si="17"/>
        <v>0</v>
      </c>
      <c r="AF31" s="1128">
        <f t="shared" si="17"/>
        <v>2483</v>
      </c>
      <c r="AG31" s="1128">
        <f t="shared" si="17"/>
        <v>0</v>
      </c>
      <c r="AH31" s="1128">
        <f t="shared" si="17"/>
        <v>159</v>
      </c>
      <c r="AI31" s="1128">
        <f t="shared" si="17"/>
        <v>0</v>
      </c>
      <c r="AJ31" s="1121">
        <f t="shared" si="17"/>
        <v>0</v>
      </c>
      <c r="AK31" s="1128">
        <f t="shared" si="17"/>
        <v>0</v>
      </c>
      <c r="AL31" s="1128">
        <f t="shared" si="17"/>
        <v>0</v>
      </c>
      <c r="AM31" s="1128">
        <f t="shared" si="17"/>
        <v>7952</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2782</v>
      </c>
      <c r="BD31" s="1120">
        <f t="shared" si="17"/>
        <v>6579</v>
      </c>
      <c r="BE31" s="1120">
        <f t="shared" si="17"/>
        <v>0</v>
      </c>
      <c r="BF31" s="1130">
        <f t="shared" si="17"/>
        <v>0</v>
      </c>
      <c r="BG31" s="1227">
        <f>IF(ISNUMBER(Datos!K31/Datos!J31),Datos!K31/Datos!J31," - ")</f>
        <v>0.97432442017164334</v>
      </c>
      <c r="BH31" s="1227">
        <f>IF(ISNUMBER(((Datos!L31/Datos!K31)*11)/factor_trimestre),((Datos!L31/Datos!K31)*11)/factor_trimestre," - ")</f>
        <v>7.2148212855790925</v>
      </c>
      <c r="BI31" s="1106">
        <f>IF(ISNUMBER(Datos!J31/Datos!I31),Datos!J31/Datos!I31," - ")</f>
        <v>1.6213201471941123</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-2.8535223367697595</v>
      </c>
      <c r="BM31" s="1191">
        <f>IF(ISNUMBER((Datos!P31-Datos!Q31+R31)/(Datos!R31-Datos!P31+Datos!Q31-R31)),(Datos!P31-Datos!Q31+R31)/(Datos!R31-Datos!P31+Datos!Q31-R31)," - ")</f>
        <v>-3.6588320814150713E-2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718.57142857142856</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3.350831266333564</v>
      </c>
      <c r="F33" s="677">
        <f>IF(ISNUMBER(STDEV(F8:F30)),STDEV(F8:F30),"-")</f>
        <v>1179.7820137635597</v>
      </c>
      <c r="G33" s="678">
        <f>IF(ISNUMBER(STDEV(G8:G30)),STDEV(G8:G30),"-")</f>
        <v>1151.2054344820269</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3037.332985806243</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802.43860468307128</v>
      </c>
      <c r="BD33" s="677"/>
      <c r="BE33" s="677">
        <f>IF(ISNUMBER(STDEV(BE8:BE30)),STDEV(BE8:BE30),"-")</f>
        <v>0</v>
      </c>
      <c r="BF33" s="682">
        <f>IF(ISNUMBER(STDEV(BF8:BF30)),STDEV(BF8:BF30),"-")</f>
        <v>0</v>
      </c>
      <c r="BG33" s="1055">
        <f>IF(ISNUMBER(STDEV(BG8:BG30)),STDEV(BG8:BG30),"-")</f>
        <v>9.090688022380046E-2</v>
      </c>
      <c r="BH33" s="1061">
        <f>IF(ISNUMBER(STDEV(BH8:BH30)),STDEV(BH8:BH30),"-")</f>
        <v>3.0525140053179971</v>
      </c>
      <c r="BI33" s="273">
        <f>IF(ISNUMBER(STDEV(BI8:BI30)),STDEV(BI8:BI30),"-")</f>
        <v>7.21462728601341E-2</v>
      </c>
      <c r="BJ33" s="244" t="str">
        <f>IF(ISNUMBER(BL33/BM33),BL33/BM33," - ")</f>
        <v xml:space="preserve"> - </v>
      </c>
      <c r="BK33" s="713"/>
      <c r="BL33" s="685">
        <f>IF(ISNUMBER(STDEV(BL8:BL30)),STDEV(BL8:BL30),"-")</f>
        <v>0.31485771944451174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RNsMCJU1tW5rafuzaPMFBbbtBwYqoPnOOys617EZBul1wDgfJkwn16bEwXKK7FonJV4BM5rT5IAzXVhLtZK5dw==" saltValue="YUPGSUR5KNq2Pb/J7SD7o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RUBI</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29</v>
      </c>
      <c r="G10" s="556">
        <f>IF(ISNUMBER(Datos!I10),Datos!I10," - ")</f>
        <v>29</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12</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70</v>
      </c>
      <c r="Z10" s="810">
        <f>IF(ISNUMBER(Datos!Q10),Datos!Q10," - ")</f>
        <v>18</v>
      </c>
      <c r="AA10" s="555">
        <f>IF(ISNUMBER(Datos!L10),Datos!L10,"-")</f>
        <v>46</v>
      </c>
      <c r="AB10" s="553"/>
      <c r="AC10" s="553"/>
      <c r="AD10" s="567"/>
      <c r="AE10" s="567">
        <f>IF(ISNUMBER(Datos!R10),Datos!R10," - ")</f>
        <v>69</v>
      </c>
      <c r="AF10" s="697" t="str">
        <f>IF(ISNUMBER(Datos!BV10),Datos!BV10," - ")</f>
        <v xml:space="preserve"> - </v>
      </c>
      <c r="AG10" s="556" t="str">
        <f>IF(ISNUMBER(Datos!DV10),Datos!DV10," - ")</f>
        <v xml:space="preserve"> - </v>
      </c>
      <c r="AH10" s="557"/>
      <c r="AI10" s="558"/>
      <c r="AJ10" s="556">
        <f>IF(ISNUMBER(Datos!M10),Datos!M10," - ")</f>
        <v>27</v>
      </c>
      <c r="AK10" s="697">
        <f>IF(ISNUMBER(Datos!N10),Datos!N10," - ")</f>
        <v>24</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7.2285714285714286</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-0.08</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8</v>
      </c>
      <c r="B12" s="750" t="s">
        <v>324</v>
      </c>
      <c r="C12" s="751" t="str">
        <f>Datos!A12</f>
        <v xml:space="preserve">Jdos. 1ª Instª. e Instr.                        </v>
      </c>
      <c r="D12" s="605"/>
      <c r="E12" s="752">
        <f>IF(ISNUMBER(Datos!AQ12),Datos!AQ12," - ")</f>
        <v>8</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1605</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1964</v>
      </c>
      <c r="AA12" s="555" t="str">
        <f>IF(ISNUMBER(IF(J_V="SI",Datos!L12,Datos!L12+Datos!AB12)-IF(Monitorios="SI",Datos!CD12,0)),
                          IF(J_V="SI",Datos!L12,Datos!L12+Datos!AB12)-IF(Monitorios="SI",Datos!CD12,0),
                          " - ")</f>
        <v xml:space="preserve"> - </v>
      </c>
      <c r="AB12" s="553"/>
      <c r="AC12" s="553"/>
      <c r="AD12" s="567"/>
      <c r="AE12" s="567">
        <f>IF(ISNUMBER(Datos!R12),Datos!R12," - ")</f>
        <v>7473</v>
      </c>
      <c r="AF12" s="697" t="str">
        <f>IF(ISNUMBER(Datos!BV12),Datos!BV12," - ")</f>
        <v xml:space="preserve"> - </v>
      </c>
      <c r="AG12" s="556" t="str">
        <f>IF(ISNUMBER(Datos!DV12),Datos!DV12," - ")</f>
        <v xml:space="preserve"> - </v>
      </c>
      <c r="AH12" s="557"/>
      <c r="AI12" s="558"/>
      <c r="AJ12" s="556">
        <f>IF(ISNUMBER(Datos!M12),Datos!M12," - ")</f>
        <v>1818</v>
      </c>
      <c r="AK12" s="697">
        <f>IF(ISNUMBER(Datos!N12),Datos!N12," - ")</f>
        <v>2727</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9.7670650730411683</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-4.5837589376915219E-2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8</v>
      </c>
      <c r="F14" s="1200">
        <f>SUBTOTAL(9,F8:F13)</f>
        <v>29</v>
      </c>
      <c r="G14" s="1200">
        <f>SUBTOTAL(9,G8:G13)</f>
        <v>29</v>
      </c>
      <c r="H14" s="1214"/>
      <c r="I14" s="1200">
        <f t="shared" ref="I14:N14" si="1">SUBTOTAL(9,I8:I13)</f>
        <v>0</v>
      </c>
      <c r="J14" s="1167">
        <f t="shared" si="1"/>
        <v>0</v>
      </c>
      <c r="K14" s="1214">
        <f t="shared" si="1"/>
        <v>0</v>
      </c>
      <c r="L14" s="1214">
        <f t="shared" si="1"/>
        <v>0</v>
      </c>
      <c r="M14" s="1214">
        <f t="shared" si="1"/>
        <v>0</v>
      </c>
      <c r="N14" s="1214">
        <f t="shared" si="1"/>
        <v>1617</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70</v>
      </c>
      <c r="Z14" s="1213">
        <f t="shared" si="3"/>
        <v>1982</v>
      </c>
      <c r="AA14" s="1202">
        <f t="shared" si="3"/>
        <v>46</v>
      </c>
      <c r="AB14" s="1202">
        <f t="shared" si="3"/>
        <v>0</v>
      </c>
      <c r="AC14" s="1202">
        <f t="shared" si="3"/>
        <v>0</v>
      </c>
      <c r="AD14" s="1202">
        <f t="shared" si="3"/>
        <v>0</v>
      </c>
      <c r="AE14" s="1202">
        <f t="shared" si="3"/>
        <v>7542</v>
      </c>
      <c r="AF14" s="1214">
        <f t="shared" si="3"/>
        <v>0</v>
      </c>
      <c r="AG14" s="1214">
        <f t="shared" si="3"/>
        <v>0</v>
      </c>
      <c r="AH14" s="1214">
        <f t="shared" si="3"/>
        <v>0</v>
      </c>
      <c r="AI14" s="1214">
        <f t="shared" si="3"/>
        <v>0</v>
      </c>
      <c r="AJ14" s="1214">
        <f t="shared" si="3"/>
        <v>1845</v>
      </c>
      <c r="AK14" s="1214">
        <f t="shared" si="3"/>
        <v>2751</v>
      </c>
      <c r="AL14" s="1214">
        <f t="shared" si="3"/>
        <v>0</v>
      </c>
      <c r="AM14" s="1214">
        <f t="shared" si="3"/>
        <v>0</v>
      </c>
      <c r="AN14" s="1214">
        <f t="shared" si="3"/>
        <v>0</v>
      </c>
      <c r="AO14" s="1206">
        <f>IF(ISNUMBER(((NºAsuntos!I14/NºAsuntos!G14)*11)/factor_trimestre),((NºAsuntos!I14/NºAsuntos!G14)*11)/factor_trimestre," - ")</f>
        <v>9.7436842105263164</v>
      </c>
      <c r="AP14" s="1216" t="str">
        <f>IF(ISNUMBER(Datos!CI14/Datos!CJ14),Datos!CI14/Datos!CJ14," - ")</f>
        <v xml:space="preserve"> - </v>
      </c>
      <c r="AQ14" s="1240">
        <f>SUBTOTAL(9,AQ9:AQ13)</f>
        <v>0</v>
      </c>
      <c r="AR14" s="1240">
        <f>SUBTOTAL(9,AR9:AR13)</f>
        <v>-0.12583758937691522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8</v>
      </c>
      <c r="B17" s="750" t="s">
        <v>515</v>
      </c>
      <c r="C17" s="770" t="str">
        <f>Datos!A17</f>
        <v xml:space="preserve">Jdos. 1ª Instª. e Instr.                        </v>
      </c>
      <c r="D17" s="597"/>
      <c r="E17" s="752">
        <f>IF(ISNUMBER(Datos!AQ17),Datos!AQ17," - ")</f>
        <v>8</v>
      </c>
      <c r="F17" s="547">
        <f>IF(ISNUMBER(AA17+Y17-Datos!J17-K16),AA17+Y17-Datos!J17-K16," - ")</f>
        <v>2299</v>
      </c>
      <c r="G17" s="556">
        <f>IF(ISNUMBER(IF(D_I="SI",Datos!I17,Datos!I17+Datos!AC17)),IF(D_I="SI",Datos!I17,Datos!I17+Datos!AC17)," - ")</f>
        <v>2314</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296</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6093</v>
      </c>
      <c r="Z17" s="810">
        <f>IF(ISNUMBER(Datos!Q17),Datos!Q17," - ")</f>
        <v>238</v>
      </c>
      <c r="AA17" s="555">
        <f>IF(ISNUMBER(IF(D_I="SI",Datos!L17,Datos!L17+Datos!AF17)),IF(D_I="SI",Datos!L17,Datos!L17+Datos!AF17)," - ")</f>
        <v>2299</v>
      </c>
      <c r="AB17" s="553"/>
      <c r="AC17" s="553"/>
      <c r="AD17" s="567"/>
      <c r="AE17" s="567">
        <f>IF(ISNUMBER(Datos!R17),Datos!R17," - ")</f>
        <v>398</v>
      </c>
      <c r="AF17" s="697" t="str">
        <f>IF(ISNUMBER(Datos!BV17),Datos!BV17," - ")</f>
        <v xml:space="preserve"> - </v>
      </c>
      <c r="AG17" s="556"/>
      <c r="AH17" s="557"/>
      <c r="AI17" s="558"/>
      <c r="AJ17" s="556">
        <f>IF(ISNUMBER(Datos!M17),Datos!M17," - ")</f>
        <v>887</v>
      </c>
      <c r="AK17" s="697">
        <f>IF(ISNUMBER(Datos!N17),Datos!N17," - ")</f>
        <v>3618</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4.1505005744296737</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172</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8</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480</v>
      </c>
      <c r="Z18" s="810">
        <f>IF(ISNUMBER(Datos!Q18),Datos!Q18," - ")</f>
        <v>3</v>
      </c>
      <c r="AA18" s="555">
        <f>IF(ISNUMBER(Datos!L18),Datos!L18,"-")</f>
        <v>138</v>
      </c>
      <c r="AB18" s="553"/>
      <c r="AC18" s="553"/>
      <c r="AD18" s="567"/>
      <c r="AE18" s="567">
        <f>IF(ISNUMBER(Datos!R18),Datos!R18," - ")</f>
        <v>12</v>
      </c>
      <c r="AF18" s="697" t="str">
        <f>IF(ISNUMBER(Datos!BV18),Datos!BV18," - ")</f>
        <v xml:space="preserve"> - </v>
      </c>
      <c r="AG18" s="556" t="str">
        <f>IF(ISNUMBER(Datos!DV18),Datos!DV18," - ")</f>
        <v xml:space="preserve"> - </v>
      </c>
      <c r="AH18" s="557"/>
      <c r="AI18" s="558"/>
      <c r="AJ18" s="556">
        <f>IF(ISNUMBER(Datos!M18),Datos!M18," - ")</f>
        <v>50</v>
      </c>
      <c r="AK18" s="697">
        <f>IF(ISNUMBER(Datos!N18),Datos!N18," - ")</f>
        <v>210</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3.1624999999999996</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8</v>
      </c>
      <c r="F23" s="1200">
        <f>SUBTOTAL(9,F16:F22)</f>
        <v>2299</v>
      </c>
      <c r="G23" s="1200">
        <f>SUBTOTAL(9,G16:G22)</f>
        <v>2486</v>
      </c>
      <c r="H23" s="1245">
        <f>SUBTOTAL(9,H16:H22)</f>
        <v>0</v>
      </c>
      <c r="I23" s="1220">
        <f>SUBTOTAL(9,I16:I22)</f>
        <v>0</v>
      </c>
      <c r="J23" s="1167">
        <f>SUBTOTAL(9,J15:J22)</f>
        <v>0</v>
      </c>
      <c r="K23" s="1245">
        <f t="shared" ref="K23:S23" si="4">SUBTOTAL(9,K16:K22)</f>
        <v>0</v>
      </c>
      <c r="L23" s="1245">
        <f t="shared" si="4"/>
        <v>0</v>
      </c>
      <c r="M23" s="1245">
        <f t="shared" si="4"/>
        <v>0</v>
      </c>
      <c r="N23" s="1245">
        <f t="shared" si="4"/>
        <v>304</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6573</v>
      </c>
      <c r="Z23" s="1245">
        <f t="shared" si="5"/>
        <v>241</v>
      </c>
      <c r="AA23" s="1245">
        <f t="shared" si="5"/>
        <v>2437</v>
      </c>
      <c r="AB23" s="1245">
        <f t="shared" si="5"/>
        <v>0</v>
      </c>
      <c r="AC23" s="1245">
        <f t="shared" si="5"/>
        <v>0</v>
      </c>
      <c r="AD23" s="1245">
        <f t="shared" si="5"/>
        <v>0</v>
      </c>
      <c r="AE23" s="1245">
        <f t="shared" si="5"/>
        <v>410</v>
      </c>
      <c r="AF23" s="1245">
        <f t="shared" si="5"/>
        <v>0</v>
      </c>
      <c r="AG23" s="1245">
        <f t="shared" si="5"/>
        <v>0</v>
      </c>
      <c r="AH23" s="1245">
        <f t="shared" si="5"/>
        <v>0</v>
      </c>
      <c r="AI23" s="1245">
        <f t="shared" si="5"/>
        <v>0</v>
      </c>
      <c r="AJ23" s="1245">
        <f t="shared" si="5"/>
        <v>937</v>
      </c>
      <c r="AK23" s="1245">
        <f t="shared" si="5"/>
        <v>3828</v>
      </c>
      <c r="AL23" s="1245">
        <f t="shared" si="5"/>
        <v>0</v>
      </c>
      <c r="AM23" s="1245">
        <f t="shared" si="5"/>
        <v>0</v>
      </c>
      <c r="AN23" s="1245">
        <f t="shared" si="5"/>
        <v>0</v>
      </c>
      <c r="AO23" s="1247">
        <f>IF(ISNUMBER(((NºAsuntos!I23/NºAsuntos!G23)*11)/factor_trimestre),((NºAsuntos!I23/NºAsuntos!G23)*11)/factor_trimestre," - ")</f>
        <v>4.0783508291495512</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16</v>
      </c>
      <c r="F31" s="1120">
        <f t="shared" si="10"/>
        <v>2328</v>
      </c>
      <c r="G31" s="1120">
        <f t="shared" si="10"/>
        <v>2515</v>
      </c>
      <c r="H31" s="1121">
        <f t="shared" si="10"/>
        <v>0</v>
      </c>
      <c r="I31" s="1120">
        <f t="shared" si="10"/>
        <v>0</v>
      </c>
      <c r="J31" s="1122">
        <f t="shared" si="10"/>
        <v>0</v>
      </c>
      <c r="K31" s="1120">
        <f t="shared" si="10"/>
        <v>0</v>
      </c>
      <c r="L31" s="1123">
        <f t="shared" si="10"/>
        <v>0</v>
      </c>
      <c r="M31" s="1120">
        <f t="shared" si="10"/>
        <v>0</v>
      </c>
      <c r="N31" s="1121">
        <f t="shared" si="10"/>
        <v>1921</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6643</v>
      </c>
      <c r="Z31" s="1127">
        <f t="shared" si="11"/>
        <v>2223</v>
      </c>
      <c r="AA31" s="1128">
        <f t="shared" si="11"/>
        <v>2483</v>
      </c>
      <c r="AB31" s="1128">
        <f t="shared" si="11"/>
        <v>0</v>
      </c>
      <c r="AC31" s="1128">
        <f t="shared" si="11"/>
        <v>0</v>
      </c>
      <c r="AD31" s="1129">
        <f t="shared" si="11"/>
        <v>0</v>
      </c>
      <c r="AE31" s="1129">
        <f t="shared" si="11"/>
        <v>7952</v>
      </c>
      <c r="AF31" s="1130">
        <f t="shared" si="11"/>
        <v>0</v>
      </c>
      <c r="AG31" s="1131">
        <f t="shared" si="11"/>
        <v>0</v>
      </c>
      <c r="AH31" s="1132">
        <f t="shared" si="11"/>
        <v>0</v>
      </c>
      <c r="AI31" s="1130">
        <f t="shared" si="11"/>
        <v>0</v>
      </c>
      <c r="AJ31" s="1120">
        <f t="shared" si="11"/>
        <v>2782</v>
      </c>
      <c r="AK31" s="1120">
        <f t="shared" si="11"/>
        <v>6579</v>
      </c>
      <c r="AL31" s="1120">
        <f t="shared" si="11"/>
        <v>0</v>
      </c>
      <c r="AM31" s="1133">
        <f t="shared" si="11"/>
        <v>0</v>
      </c>
      <c r="AN31" s="1123">
        <f>IF(ISNUMBER(Datos!K31/Datos!J31),Datos!K31/Datos!J31," - ")</f>
        <v>0.97432442017164334</v>
      </c>
      <c r="AO31" s="1123">
        <f>IF(ISNUMBER(FIND("06",Criterios!A8,1)),(IF(ISNUMBER(((Datos!R31/Datos!Q31)*11)/factor_trimestre),((Datos!R31/Datos!Q31)*11)/factor_trimestre," - ")),(IF(ISNUMBER(((Datos!L31/Datos!K31)*11)/factor_trimestre),((Datos!L31/Datos!K31)*11)/factor_trimestre," - ")))</f>
        <v>7.2148212855790925</v>
      </c>
      <c r="AP31" s="1134" t="str">
        <f>IF(ISNUMBER(Datos!CI31/Datos!CJ31),Datos!CI31/Datos!CJ31," - ")</f>
        <v xml:space="preserve"> - </v>
      </c>
      <c r="AQ31" s="1134">
        <f>IF(OR(ISNUMBER(FIND("01",Criterios!A8,1)),ISNUMBER(FIND("02",Criterios!A8,1)),ISNUMBER(FIND("03",Criterios!A8,1)),ISNUMBER(FIND("04",Criterios!A8,1))),(J31-Y31+K31)/(F31-K31),(I31-Y31+K31)/(F31-K31))</f>
        <v>-2.8535223367697595</v>
      </c>
      <c r="AR31" s="1134">
        <f>IF(ISNUMBER((Datos!P31-Datos!Q31+O31)/(Datos!R31-Datos!P31+Datos!Q31-O31)),(Datos!P31-Datos!Q31+O31)/(Datos!R31-Datos!P31+Datos!Q31-O31)," - ")</f>
        <v>-3.6588320814150713E-2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718.57142857142856</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1179.7820137635597</v>
      </c>
      <c r="G33" s="678">
        <f>IF(ISNUMBER(STDEV(G8:G30)),STDEV(G8:G30),"-")</f>
        <v>1151.2054344820269</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802.43860468307128</v>
      </c>
      <c r="AK33" s="276"/>
      <c r="AL33" s="276">
        <f>IF(ISNUMBER(STDEV(AL8:AL30)),STDEV(AL8:AL30),"-")</f>
        <v>0</v>
      </c>
      <c r="AM33" s="278">
        <f>IF(ISNUMBER(STDEV(AM8:AM30)),STDEV(AM8:AM30),"-")</f>
        <v>0</v>
      </c>
      <c r="AN33" s="664">
        <f>IF(ISNUMBER(STDEV(AN8:AN30)),STDEV(AN8:AN30),"-")</f>
        <v>0</v>
      </c>
      <c r="AO33" s="665">
        <f>IF(ISNUMBER(STDEV(AO8:AO30)),STDEV(AO8:AO30),"-")</f>
        <v>2.9706396995037325</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SlXNT5WA5c9Ya0SlTh3tKuSb0w2CTnKro3rydGUaV9dGGXfbKOaQkBp7zI7NIvN0a1+z0HeM0wIUNe55jww0rQ==" saltValue="IxG9gHycgTvwTn9KrzWt9g=="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ZuYTud8EjKIdBXlq4M/7W0aUQEdX6q5vn6VVrPTf7+kPRissbUx2Kd0zB4oUP8ATxaqzZL0exw0iPlMMJZTsXQ==" saltValue="XdbacpKlsGqb71qDUt/C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EsVHT/9LuhdG86KNvdwFMpDM041lG82Yq1SNCcaUzev2kTnFcRfounxSw14Xrok4/0Nbkj8GD8YKCKBs19IKQ==" saltValue="t5CTRrIQu40eKIhVtv44Kg=="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RUBI</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0.24276315789473685</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0.17165947516962898</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5MI9f/1LTRea+SWTELBQxfXboFsSqabLfLOuprqtnCvfdt/gboe95TFOLE3Nu9SaKkDO5bppZYiNYZWzF4AFZg==" saltValue="snxjoOuF3vp8pxPQYgEvN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Ckyo73hUME44N2zw4pNom/v+Ue0BIxynZLWApPw2rtywgmrFMovb+gcZfaFAgJmRGZg5kqhKEgETRyqYWuM4HA==" saltValue="/RjJ8rnlaGX+OW90kN1z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RUBI</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29</v>
      </c>
      <c r="D10" s="453">
        <f>IF(ISNUMBER(C10/Datos!BH10),C10/Datos!BH10," - ")</f>
        <v>29</v>
      </c>
      <c r="E10" s="452">
        <f>IF(ISNUMBER(Datos!J10),Datos!J10," - ")</f>
        <v>87</v>
      </c>
      <c r="F10" s="453">
        <f>IF(ISNUMBER(E10/B10),E10/B10," - ")</f>
        <v>87</v>
      </c>
      <c r="G10" s="452">
        <f>IF(ISNUMBER(Datos!K10),Datos!K10," - ")</f>
        <v>70</v>
      </c>
      <c r="H10" s="453">
        <f>IF(ISNUMBER(G10/B10),G10/B10," - ")</f>
        <v>70</v>
      </c>
      <c r="I10" s="452">
        <f>IF(ISNUMBER(Datos!L10),Datos!L10," - ")</f>
        <v>46</v>
      </c>
      <c r="J10" s="453">
        <f>IF(ISNUMBER(I10/B10),I10/B10," - ")</f>
        <v>46</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8</v>
      </c>
      <c r="C12" s="452">
        <f>IF(ISNUMBER(IF(J_V="SI",Datos!I12,Datos!I12+Datos!Y12)),IF(J_V="SI",Datos!I12,Datos!I12+Datos!Y12)," - ")</f>
        <v>6367</v>
      </c>
      <c r="D12" s="453">
        <f>IF(ISNUMBER(C12/Datos!BH12),C12/Datos!BH12," - ")</f>
        <v>795.875</v>
      </c>
      <c r="E12" s="452">
        <f>IF(ISNUMBER(IF(J_V="SI",Datos!J12,Datos!J12+Datos!Z12)),IF(J_V="SI",Datos!J12,Datos!J12+Datos!Z12)," - ")</f>
        <v>7874</v>
      </c>
      <c r="F12" s="453">
        <f>IF(ISNUMBER(E12/B12),E12/B12," - ")</f>
        <v>984.25</v>
      </c>
      <c r="G12" s="452">
        <f>IF(ISNUMBER(IF(J_V="SI",Datos!K12,Datos!K12+Datos!AA12)),IF(J_V="SI",Datos!K12,Datos!K12+Datos!AA12)," - ")</f>
        <v>7530</v>
      </c>
      <c r="H12" s="453">
        <f>IF(ISNUMBER(G12/B12),G12/B12," - ")</f>
        <v>941.25</v>
      </c>
      <c r="I12" s="452">
        <f>IF(ISNUMBER(IF(J_V="SI",Datos!L12,Datos!L12+Datos!AB12)),IF(J_V="SI",Datos!L12,Datos!L12+Datos!AB12)," - ")</f>
        <v>6686</v>
      </c>
      <c r="J12" s="453">
        <f>IF(ISNUMBER(I12/B12),I12/B12," - ")</f>
        <v>835.75</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8</v>
      </c>
      <c r="C14" s="1149">
        <f>SUBTOTAL(9,C8:C13)</f>
        <v>6396</v>
      </c>
      <c r="D14" s="1150" t="str">
        <f>IF(ISNUMBER(C14/Datos!BI14),C14/Datos!BI14," - ")</f>
        <v xml:space="preserve"> - </v>
      </c>
      <c r="E14" s="1149">
        <f>SUBTOTAL(9,E8:E13)</f>
        <v>7961</v>
      </c>
      <c r="F14" s="1150">
        <f>IF(ISNUMBER(E14/B14),E14/B14," - ")</f>
        <v>995.125</v>
      </c>
      <c r="G14" s="1149">
        <f>SUBTOTAL(9,G8:G13)</f>
        <v>7600</v>
      </c>
      <c r="H14" s="1150">
        <f>IF(ISNUMBER(G14/B14),G14/B14," - ")</f>
        <v>950</v>
      </c>
      <c r="I14" s="1149">
        <f>SUBTOTAL(9,I8:I13)</f>
        <v>6732</v>
      </c>
      <c r="J14" s="1150">
        <f>IF(ISNUMBER(I14/B14),I14/B14," - ")</f>
        <v>841.5</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8</v>
      </c>
      <c r="C17" s="452">
        <f>IF(ISNUMBER(IF(D_I="SI",Datos!I17,Datos!I17+Datos!AC17)),IF(D_I="SI",Datos!I17,Datos!I17+Datos!AC17)," - ")</f>
        <v>2314</v>
      </c>
      <c r="D17" s="453">
        <f>IF(ISNUMBER(C17/Datos!BH17),C17/Datos!BH17," - ")</f>
        <v>289.25</v>
      </c>
      <c r="E17" s="452">
        <f>IF(ISNUMBER(IF(D_I="SI",Datos!J17,Datos!J17+Datos!AD17)),IF(D_I="SI",Datos!J17,Datos!J17+Datos!AD17)," - ")</f>
        <v>6093</v>
      </c>
      <c r="F17" s="453">
        <f>IF(ISNUMBER(E17/B17),E17/B17," - ")</f>
        <v>761.625</v>
      </c>
      <c r="G17" s="452">
        <f>IF(ISNUMBER(IF(D_I="SI",Datos!K17,Datos!K17+Datos!AE17)),IF(D_I="SI",Datos!K17,Datos!K17+Datos!AE17)," - ")</f>
        <v>6093</v>
      </c>
      <c r="H17" s="453">
        <f>IF(ISNUMBER(G17/B17),G17/B17," - ")</f>
        <v>761.625</v>
      </c>
      <c r="I17" s="452">
        <f>IF(ISNUMBER(IF(D_I="SI",Datos!L17,Datos!L17+Datos!AF17)),IF(D_I="SI",Datos!L17,Datos!L17+Datos!AF17)," - ")</f>
        <v>2299</v>
      </c>
      <c r="J17" s="453">
        <f>IF(ISNUMBER(I17/B17),I17/B17," - ")</f>
        <v>287.375</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172</v>
      </c>
      <c r="D18" s="453">
        <f>IF(ISNUMBER(C18/Datos!BH18),C18/Datos!BH18," - ")</f>
        <v>172</v>
      </c>
      <c r="E18" s="452">
        <f>IF(ISNUMBER(IF(D_I="SI",Datos!J18,Datos!J18+Datos!AD18)),IF(D_I="SI",Datos!J18,Datos!J18+Datos!AD18)," - ")</f>
        <v>446</v>
      </c>
      <c r="F18" s="453">
        <f>IF(ISNUMBER(E18/B18),E18/B18," - ")</f>
        <v>446</v>
      </c>
      <c r="G18" s="452">
        <f>IF(ISNUMBER(IF(D_I="SI",Datos!K18,Datos!K18+Datos!AE18)),IF(D_I="SI",Datos!K18,Datos!K18+Datos!AE18)," - ")</f>
        <v>480</v>
      </c>
      <c r="H18" s="453">
        <f>IF(ISNUMBER(G18/B18),G18/B18," - ")</f>
        <v>480</v>
      </c>
      <c r="I18" s="452">
        <f>IF(ISNUMBER(IF(D_I="SI",Datos!L18,Datos!L18+Datos!AF18)),IF(D_I="SI",Datos!L18,Datos!L18+Datos!AF18)," - ")</f>
        <v>138</v>
      </c>
      <c r="J18" s="453">
        <f>IF(ISNUMBER(I18/B18),I18/B18," - ")</f>
        <v>138</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8</v>
      </c>
      <c r="C23" s="1149">
        <f>SUBTOTAL(9,C15:C22)</f>
        <v>2486</v>
      </c>
      <c r="D23" s="1150" t="str">
        <f>IF(ISNUMBER(C23/Datos!BI23),C23/Datos!BI23," - ")</f>
        <v xml:space="preserve"> - </v>
      </c>
      <c r="E23" s="1149">
        <f>SUBTOTAL(9,E15:E22)</f>
        <v>6539</v>
      </c>
      <c r="F23" s="1150">
        <f>IF(ISNUMBER(E23/B23),E23/B23," - ")</f>
        <v>817.375</v>
      </c>
      <c r="G23" s="1149">
        <f>SUBTOTAL(9,G15:G22)</f>
        <v>6573</v>
      </c>
      <c r="H23" s="1150">
        <f>IF(ISNUMBER(G23/B23),G23/B23," - ")</f>
        <v>821.625</v>
      </c>
      <c r="I23" s="1149">
        <f>SUBTOTAL(9,I15:I22)</f>
        <v>2437</v>
      </c>
      <c r="J23" s="1150">
        <f>IF(ISNUMBER(I23/B23),I23/B23," - ")</f>
        <v>304.625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8</v>
      </c>
      <c r="C31" s="1087">
        <f>SUBTOTAL(9,C9:C30)</f>
        <v>8882</v>
      </c>
      <c r="D31" s="1088" t="str">
        <f>IF(ISNUMBER(C31/Datos!BI31),C31/Datos!BI31," - ")</f>
        <v xml:space="preserve"> - </v>
      </c>
      <c r="E31" s="1087">
        <f>SUBTOTAL(9,E9:E30)</f>
        <v>14500</v>
      </c>
      <c r="F31" s="1088">
        <f>IF(ISNUMBER(E31/B31),E31/B31," - ")</f>
        <v>1812.5</v>
      </c>
      <c r="G31" s="1087">
        <f>SUBTOTAL(9,G9:G30)</f>
        <v>14173</v>
      </c>
      <c r="H31" s="1088">
        <f>IF(ISNUMBER(G31/B31),G31/B31," - ")</f>
        <v>1771.625</v>
      </c>
      <c r="I31" s="1087">
        <f>SUBTOTAL(9,I9:I30)</f>
        <v>9169</v>
      </c>
      <c r="J31" s="1088">
        <f>IF(ISNUMBER(I31/B31),I31/B31," - ")</f>
        <v>1146.125</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oQroOv+Fndqko/J2lprYPrH4L5TtHe/Us1wCh2IqkbZLwUomOW8r/H9qEVXtXGYa11iAXQjg4SAfQMo302PDxA==" saltValue="oKGL5trbXysB2LONLbES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RUBI</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29</v>
      </c>
      <c r="G10" s="909">
        <f>IF(ISNUMBER(Datos!I10),Datos!I10," - ")</f>
        <v>29</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12</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70</v>
      </c>
      <c r="AC10" s="908" t="str">
        <f>IF(ISNUMBER(IF(D_I="SI",DatosP!K18,DatosP!K18+DatosP!AE18)),IF(D_I="SI",DatosP!K18,DatosP!K18+DatosP!AE18)," - ")</f>
        <v xml:space="preserve"> - </v>
      </c>
      <c r="AD10" s="910"/>
      <c r="AE10" s="910"/>
      <c r="AF10" s="913">
        <f>IF(ISNUMBER(Datos!L10),Datos!L10,"-")</f>
        <v>46</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27</v>
      </c>
      <c r="AM10" s="917">
        <f>IF(ISNUMBER(Datos!N10+DatosP!N18),Datos!N10+DatosP!N18," - ")</f>
        <v>24</v>
      </c>
      <c r="AN10" s="917">
        <f>IF(ISNUMBER(Datos!BW10+DatosP!BW18),Datos!BW10+DatosP!BW18," - ")</f>
        <v>0</v>
      </c>
      <c r="AO10" s="918">
        <f>IF(ISNUMBER(Datos!BX10+DatosP!BX18),Datos!BX10+DatosP!BX18," - ")</f>
        <v>0</v>
      </c>
      <c r="AP10" s="920">
        <f>IF(ISNUMBER(((Datos!L10/Datos!K10)*11)/factor_trimestre),((Datos!L10/Datos!K10)*11)/factor_trimestre," - ")</f>
        <v>7.2285714285714286</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8</v>
      </c>
      <c r="B12" s="750" t="s">
        <v>324</v>
      </c>
      <c r="C12" s="751" t="str">
        <f>Datos!A12</f>
        <v xml:space="preserve">Jdos. 1ª Instª. e Instr.                        </v>
      </c>
      <c r="D12" s="605"/>
      <c r="E12" s="907">
        <f>IF(ISNUMBER(Datos!AQ12),Datos!AQ12," - ")</f>
        <v>8</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1605</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1964</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7473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1818</v>
      </c>
      <c r="AM12" s="917">
        <f>IF(ISNUMBER(Datos!N12+DatosP!N17),Datos!N12+DatosP!N17," - ")</f>
        <v>2727</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9.7670650730411683</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-4.5837589376915219E-2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8</v>
      </c>
      <c r="F14" s="1261">
        <f t="shared" si="0"/>
        <v>29</v>
      </c>
      <c r="G14" s="1261">
        <f t="shared" si="0"/>
        <v>29</v>
      </c>
      <c r="H14" s="1261">
        <f t="shared" si="0"/>
        <v>0</v>
      </c>
      <c r="I14" s="1263">
        <f t="shared" si="0"/>
        <v>0</v>
      </c>
      <c r="J14" s="1262">
        <f t="shared" si="0"/>
        <v>0</v>
      </c>
      <c r="K14" s="1262">
        <f t="shared" si="0"/>
        <v>0</v>
      </c>
      <c r="L14" s="1264">
        <f t="shared" si="0"/>
        <v>0</v>
      </c>
      <c r="M14" s="1264">
        <f t="shared" si="0"/>
        <v>0</v>
      </c>
      <c r="N14" s="1262">
        <f t="shared" si="0"/>
        <v>1617</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70</v>
      </c>
      <c r="AC14" s="1262">
        <f t="shared" si="1"/>
        <v>0</v>
      </c>
      <c r="AD14" s="1262">
        <f t="shared" si="1"/>
        <v>1964</v>
      </c>
      <c r="AE14" s="1262">
        <f t="shared" si="1"/>
        <v>0</v>
      </c>
      <c r="AF14" s="1262">
        <f t="shared" si="1"/>
        <v>46</v>
      </c>
      <c r="AG14" s="1262">
        <f t="shared" si="1"/>
        <v>0</v>
      </c>
      <c r="AH14" s="1262">
        <f t="shared" si="1"/>
        <v>7473</v>
      </c>
      <c r="AI14" s="1262">
        <f t="shared" si="1"/>
        <v>0</v>
      </c>
      <c r="AJ14" s="1262">
        <f t="shared" si="1"/>
        <v>0</v>
      </c>
      <c r="AK14" s="1262">
        <f t="shared" si="1"/>
        <v>0</v>
      </c>
      <c r="AL14" s="1262">
        <f t="shared" si="1"/>
        <v>1845</v>
      </c>
      <c r="AM14" s="1262">
        <f t="shared" si="1"/>
        <v>2751</v>
      </c>
      <c r="AN14" s="1262">
        <f t="shared" si="1"/>
        <v>0</v>
      </c>
      <c r="AO14" s="1262">
        <f t="shared" si="1"/>
        <v>0</v>
      </c>
      <c r="AP14" s="1267">
        <f>IF(ISNUMBER(((Datos!L14/Datos!K14)*11)/factor_trimestre),((Datos!L14/Datos!K14)*11)/factor_trimestre," - ")</f>
        <v>10.092546063651591</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-2.4137931034482758</v>
      </c>
      <c r="AU14" s="1262" t="str">
        <f>IF(ISNUMBER((DatosP!#REF!-DatosP!#REF!+DatosP!#REF!)/(DatosP!#REF!+DatosP!#REF!-DatosP!#REF!-DatosP!#REF!)),(DatosP!#REF!-DatosP!#REF!+DatosP!#REF!)/(DatosP!#REF!+DatosP!#REF!-DatosP!#REF!-DatosP!#REF!)," - ")</f>
        <v xml:space="preserve"> - </v>
      </c>
      <c r="AV14" s="1268">
        <f>SUBTOTAL(9,AV9:AV13)</f>
        <v>-4.5837589376915219E-2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8</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4.0783508291495512</v>
      </c>
      <c r="AQ23" s="1267">
        <f>IF(ISNUMBER(((Datos!M23/Datos!L23)*11)/factor_trimestre),((Datos!M23/Datos!L23)*11)/factor_trimestre," - ")</f>
        <v>4.2293803857201473</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0.18155619596541786</v>
      </c>
      <c r="AW23" s="1270">
        <f>IF(ISNUMBER((Datos!Q23-Datos!R23)/(Datos!S23-Datos!Q23+Datos!R23)),(Datos!Q23-Datos!R23)/(Datos!S23-Datos!Q23+Datos!R23)," - ")</f>
        <v>-7.9379990605918271E-2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8</v>
      </c>
      <c r="F31" s="1283">
        <f t="shared" si="8"/>
        <v>29</v>
      </c>
      <c r="G31" s="1283">
        <f t="shared" si="8"/>
        <v>29</v>
      </c>
      <c r="H31" s="1283">
        <f t="shared" si="8"/>
        <v>0</v>
      </c>
      <c r="I31" s="1284">
        <f t="shared" si="8"/>
        <v>0</v>
      </c>
      <c r="J31" s="1285">
        <f t="shared" si="8"/>
        <v>0</v>
      </c>
      <c r="K31" s="1285">
        <f t="shared" si="8"/>
        <v>0</v>
      </c>
      <c r="L31" s="1285">
        <f t="shared" si="8"/>
        <v>0</v>
      </c>
      <c r="M31" s="1285">
        <f t="shared" si="8"/>
        <v>0</v>
      </c>
      <c r="N31" s="1284">
        <f t="shared" si="8"/>
        <v>1617</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70</v>
      </c>
      <c r="AC31" s="1289">
        <f t="shared" si="9"/>
        <v>0</v>
      </c>
      <c r="AD31" s="1289">
        <f t="shared" si="9"/>
        <v>1964</v>
      </c>
      <c r="AE31" s="1289">
        <f t="shared" si="9"/>
        <v>0</v>
      </c>
      <c r="AF31" s="1290">
        <f t="shared" si="9"/>
        <v>46</v>
      </c>
      <c r="AG31" s="1290">
        <f t="shared" si="9"/>
        <v>0</v>
      </c>
      <c r="AH31" s="1290">
        <f t="shared" si="9"/>
        <v>7473</v>
      </c>
      <c r="AI31" s="1290">
        <f t="shared" si="9"/>
        <v>0</v>
      </c>
      <c r="AJ31" s="1291">
        <f t="shared" si="9"/>
        <v>0</v>
      </c>
      <c r="AK31" s="1291">
        <f t="shared" si="9"/>
        <v>0</v>
      </c>
      <c r="AL31" s="1283">
        <f t="shared" si="9"/>
        <v>1845</v>
      </c>
      <c r="AM31" s="1283">
        <f t="shared" si="9"/>
        <v>2751</v>
      </c>
      <c r="AN31" s="1283">
        <f t="shared" si="9"/>
        <v>0</v>
      </c>
      <c r="AO31" s="1283">
        <f t="shared" si="9"/>
        <v>0</v>
      </c>
      <c r="AP31" s="1283">
        <f>IF(ISNUMBER(((Datos!L31/Datos!K31)*11)/factor_trimestre),((Datos!L31/Datos!K31)*11)/factor_trimestre," - ")</f>
        <v>7.2148212855790925</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-2.4137931034482758</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-3.6588320814150713E-2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11.6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3.5276684147527875</v>
      </c>
      <c r="F33" s="1009">
        <f>IF(ISNUMBER(STDEV(F8:F30)),STDEV(F8:F30),"-")</f>
        <v>15.883954167649817</v>
      </c>
      <c r="G33" s="1010">
        <f>IF(ISNUMBER(STDEV(G8:G30)),STDEV(G8:G30),"-")</f>
        <v>15.883954167649817</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38.340579025361627</v>
      </c>
      <c r="AC33" s="1011">
        <f>IF(ISNUMBER(STDEV(AC8:AC30)),STDEV(AC8:AC30),"-")</f>
        <v>0</v>
      </c>
      <c r="AD33" s="1014"/>
      <c r="AE33" s="1014"/>
      <c r="AF33" s="1014"/>
      <c r="AG33" s="1014"/>
      <c r="AH33" s="1014"/>
      <c r="AI33" s="1014"/>
      <c r="AJ33" s="1015">
        <f>IF(ISNUMBER(STDEV(AJ8:AJ30)),STDEV(AJ8:AJ30),"-")</f>
        <v>0</v>
      </c>
      <c r="AK33" s="1017"/>
      <c r="AL33" s="1009">
        <f>IF(ISNUMBER(STDEV(AL8:AL30)),STDEV(AL8:AL30),"-")</f>
        <v>942.39354836501298</v>
      </c>
      <c r="AM33" s="1009"/>
      <c r="AN33" s="1009">
        <f>IF(ISNUMBER(STDEV(AN8:AN30)),STDEV(AN8:AN30),"-")</f>
        <v>0</v>
      </c>
      <c r="AO33" s="1015">
        <f>IF(ISNUMBER(STDEV(AO8:AO30)),STDEV(AO8:AO30),"-")</f>
        <v>0</v>
      </c>
      <c r="AP33" s="1068">
        <f>IF(ISNUMBER(STDEV(AP8:AP30)),STDEV(AP8:AP30),"-")</f>
        <v>2.7869957310849505</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usdJhKgI12cEP4MUzgrueIguT2c8+RO3uueR6S+EgvpvgmuJZBqXqeplmgYlPyh7FnVIEqmSIR2UXy9tPPFZNw==" saltValue="/vM4EcDmz+Tp1FkoJqxSc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RUBI</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8</v>
      </c>
      <c r="D12" s="452">
        <f>Datos!BK12</f>
        <v>0</v>
      </c>
      <c r="E12" s="452">
        <f>Datos!AQ12</f>
        <v>8</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8</v>
      </c>
      <c r="D17" s="452">
        <f>Datos!BK17</f>
        <v>0</v>
      </c>
      <c r="E17" s="452">
        <f>Datos!AQ17</f>
        <v>8</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CVOqnXfugyaipvvVy1VF+S+P6TZU1rQLUCxN4JML0rCm+nc1r/P/Q0YJmpi7mgejcGVK3bl/hPF4PcWGCHLuGQ==" saltValue="2m/3TsRAR+kSfn1zQlx78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RUBI</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27</v>
      </c>
      <c r="E10" s="453">
        <f>IF(ISNUMBER(D10/B10),D10/B10," - ")</f>
        <v>27</v>
      </c>
      <c r="F10" s="452">
        <f>IF(ISNUMBER(Datos!N10),Datos!N10," - ")</f>
        <v>24</v>
      </c>
      <c r="G10" s="453">
        <f>IF(ISNUMBER(F10/B10),F10/B10," - ")</f>
        <v>24</v>
      </c>
      <c r="H10" s="452">
        <f>IF(ISNUMBER(Datos!O10),Datos!O10," - ")</f>
        <v>15</v>
      </c>
      <c r="I10" s="453">
        <f t="shared" ref="I10:I13" si="2">IF(ISNUMBER(H10/B10),H10/B10," - ")</f>
        <v>15</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8</v>
      </c>
      <c r="C12" s="459">
        <f>Datos!AQ12</f>
        <v>8</v>
      </c>
      <c r="D12" s="452">
        <f>IF(ISNUMBER(Datos!M12),Datos!M12," - ")</f>
        <v>1818</v>
      </c>
      <c r="E12" s="453">
        <f t="shared" si="0"/>
        <v>227.25</v>
      </c>
      <c r="F12" s="452">
        <f>IF(ISNUMBER(Datos!N12),Datos!N12," - ")</f>
        <v>2727</v>
      </c>
      <c r="G12" s="453">
        <f t="shared" si="1"/>
        <v>340.875</v>
      </c>
      <c r="H12" s="452">
        <f>IF(ISNUMBER(Datos!O12),Datos!O12," - ")</f>
        <v>3628</v>
      </c>
      <c r="I12" s="453">
        <f t="shared" si="2"/>
        <v>453.5</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9</v>
      </c>
      <c r="C14" s="1151">
        <f>Datos!AR14</f>
        <v>8</v>
      </c>
      <c r="D14" s="1149">
        <f>SUBTOTAL(9,D9:D13)</f>
        <v>1845</v>
      </c>
      <c r="E14" s="1150">
        <f t="shared" si="0"/>
        <v>205</v>
      </c>
      <c r="F14" s="1149">
        <f>SUBTOTAL(9,F9:F13)</f>
        <v>2751</v>
      </c>
      <c r="G14" s="1150">
        <f t="shared" si="1"/>
        <v>305.66666666666669</v>
      </c>
      <c r="H14" s="1149">
        <f>SUBTOTAL(9,H9:H13)</f>
        <v>3643</v>
      </c>
      <c r="I14" s="1150">
        <f>IF(ISNUMBER(H14/B14),H14/B14," - ")</f>
        <v>404.77777777777777</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8</v>
      </c>
      <c r="C17" s="482">
        <f>Datos!AQ17</f>
        <v>8</v>
      </c>
      <c r="D17" s="452">
        <f>IF(ISNUMBER(Datos!M17),Datos!M17," - ")</f>
        <v>887</v>
      </c>
      <c r="E17" s="453">
        <f t="shared" si="3"/>
        <v>110.875</v>
      </c>
      <c r="F17" s="452">
        <f>IF(ISNUMBER(Datos!N17),Datos!N17," - ")</f>
        <v>3618</v>
      </c>
      <c r="G17" s="453">
        <f t="shared" si="4"/>
        <v>452.25</v>
      </c>
      <c r="H17" s="452">
        <f>IF(ISNUMBER(Datos!O17),Datos!O17," - ")</f>
        <v>57</v>
      </c>
      <c r="I17" s="453">
        <f t="shared" si="5"/>
        <v>7.125</v>
      </c>
    </row>
    <row r="18" spans="1:9">
      <c r="A18" s="451" t="str">
        <f>Datos!A18</f>
        <v>Jdos. Violencia contra la mujer</v>
      </c>
      <c r="B18" s="481">
        <f>Datos!AO18</f>
        <v>1</v>
      </c>
      <c r="C18" s="482">
        <f>Datos!AQ18</f>
        <v>0</v>
      </c>
      <c r="D18" s="452">
        <f>IF(ISNUMBER(Datos!M18),Datos!M18," - ")</f>
        <v>50</v>
      </c>
      <c r="E18" s="453">
        <f>IF(ISNUMBER(D18/B18),D18/B18," - ")</f>
        <v>50</v>
      </c>
      <c r="F18" s="452">
        <f>IF(ISNUMBER(Datos!N18),Datos!N18," - ")</f>
        <v>210</v>
      </c>
      <c r="G18" s="453">
        <f>IF(ISNUMBER(F18/B18),F18/B18," - ")</f>
        <v>210</v>
      </c>
      <c r="H18" s="452">
        <f>IF(ISNUMBER(Datos!O18),Datos!O18," - ")</f>
        <v>1</v>
      </c>
      <c r="I18" s="453">
        <f t="shared" si="5"/>
        <v>1</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9</v>
      </c>
      <c r="C23" s="1151">
        <f>Datos!AR23</f>
        <v>8</v>
      </c>
      <c r="D23" s="1149">
        <f>SUBTOTAL(9,D16:D22)</f>
        <v>937</v>
      </c>
      <c r="E23" s="1150">
        <f t="shared" si="3"/>
        <v>104.11111111111111</v>
      </c>
      <c r="F23" s="1149">
        <f>SUBTOTAL(9,F16:F22)</f>
        <v>3828</v>
      </c>
      <c r="G23" s="1150">
        <f t="shared" si="4"/>
        <v>425.33333333333331</v>
      </c>
      <c r="H23" s="1149">
        <f>SUBTOTAL(9,H16:H22)</f>
        <v>58</v>
      </c>
      <c r="I23" s="1150">
        <f>IF(ISNUMBER(H23/B23),H23/B23," - ")</f>
        <v>6.4444444444444446</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8</v>
      </c>
      <c r="C31" s="1087">
        <f>Datos!AR31</f>
        <v>8</v>
      </c>
      <c r="D31" s="1087">
        <f>SUBTOTAL(9,D8:D30)</f>
        <v>2782</v>
      </c>
      <c r="E31" s="1088">
        <f>IF(ISNUMBER(D31/B31),D31/B31," - ")</f>
        <v>347.75</v>
      </c>
      <c r="F31" s="1087">
        <f>SUBTOTAL(9,F8:F30)</f>
        <v>6579</v>
      </c>
      <c r="G31" s="1088">
        <f>IF(ISNUMBER(F31/B31),F31/B31," - ")</f>
        <v>822.375</v>
      </c>
      <c r="H31" s="1087">
        <f>SUBTOTAL(9,H8:H30)</f>
        <v>3701</v>
      </c>
      <c r="I31" s="1088">
        <f>IF(ISNUMBER(H31/B31),H31/B31," - ")</f>
        <v>462.625</v>
      </c>
    </row>
    <row r="34" spans="1:1">
      <c r="A34" s="440" t="str">
        <f>Criterios!A4</f>
        <v>Fecha Informe: 05 abr. 2022</v>
      </c>
    </row>
    <row r="39" spans="1:1">
      <c r="A39" s="463"/>
    </row>
  </sheetData>
  <sheetProtection algorithmName="SHA-512" hashValue="NEdkyP+lDoaCsdYPhUycf2sDMEepK1UZo3xkVTCj9+OWo4biwOyvsUXPANuEbDVUX+Z+aOhpKka92Z99BDVUUA==" saltValue="b+3IIDtXsI7rFcxKB/6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RUBI</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12</v>
      </c>
      <c r="C10" s="490">
        <f>IF(ISNUMBER(Datos!Q10),Datos!Q10," - ")</f>
        <v>18</v>
      </c>
      <c r="D10" s="457">
        <f>IF(ISNUMBER(Datos!R10),Datos!R10," - ")</f>
        <v>69</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1605</v>
      </c>
      <c r="C12" s="490">
        <f>IF(ISNUMBER(Datos!Q12),Datos!Q12," - ")</f>
        <v>1964</v>
      </c>
      <c r="D12" s="457">
        <f>IF(ISNUMBER(Datos!R12),Datos!R12," - ")</f>
        <v>7473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1617</v>
      </c>
      <c r="C14" s="1153">
        <f>SUBTOTAL(9,C9:C13)</f>
        <v>1982</v>
      </c>
      <c r="D14" s="1151">
        <f>SUBTOTAL(9,D9:D13)</f>
        <v>7542</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296</v>
      </c>
      <c r="C17" s="490">
        <f>IF(ISNUMBER(Datos!Q17),Datos!Q17," - ")</f>
        <v>238</v>
      </c>
      <c r="D17" s="457">
        <f>IF(ISNUMBER(Datos!R17),Datos!R17," - ")</f>
        <v>398</v>
      </c>
    </row>
    <row r="18" spans="1:4">
      <c r="A18" s="451" t="str">
        <f>Datos!A18</f>
        <v>Jdos. Violencia contra la mujer</v>
      </c>
      <c r="B18" s="489">
        <f>IF(ISNUMBER(Datos!P18),Datos!P18," - ")</f>
        <v>8</v>
      </c>
      <c r="C18" s="490">
        <f>IF(ISNUMBER(Datos!Q18),Datos!Q18," - ")</f>
        <v>3</v>
      </c>
      <c r="D18" s="457">
        <f>IF(ISNUMBER(Datos!R18),Datos!R18," - ")</f>
        <v>12</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304</v>
      </c>
      <c r="C23" s="1153">
        <f>SUBTOTAL(9,C16:C22)</f>
        <v>241</v>
      </c>
      <c r="D23" s="1151">
        <f>SUBTOTAL(9,D16:D22)</f>
        <v>410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1921</v>
      </c>
      <c r="C31" s="1092">
        <f>SUBTOTAL(9,C8:C30)</f>
        <v>2223</v>
      </c>
      <c r="D31" s="1093">
        <f>SUBTOTAL(9,D8:D30)</f>
        <v>7952</v>
      </c>
    </row>
    <row r="32" spans="1:4" ht="7.5" customHeight="1"/>
    <row r="33" spans="1:1" ht="6" customHeight="1"/>
    <row r="34" spans="1:1">
      <c r="A34" s="440" t="str">
        <f>Criterios!A4</f>
        <v>Fecha Informe: 05 abr. 2022</v>
      </c>
    </row>
    <row r="39" spans="1:1">
      <c r="A39" s="463"/>
    </row>
  </sheetData>
  <sheetProtection algorithmName="SHA-512" hashValue="EmVpeBBE/eog2K+kassivJ0ejJc1FaHCrfTSfACUs3OgdPTTG9eq4walEYdAhnc3onchxy8Nn/N6k/jQfQ/d+g==" saltValue="QhPBCL+IdgXEoZTmuf5p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RUBI</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-6.4516129032258063E-2</v>
      </c>
      <c r="C10" s="516">
        <f>IF(ISNUMBER((Datos!J10-Datos!T10)/Datos!T10),(Datos!J10-Datos!T10)/Datos!T10," - ")</f>
        <v>0.14473684210526316</v>
      </c>
      <c r="D10" s="516">
        <f>IF(ISNUMBER((Datos!K10-Datos!U10)/Datos!U10),(Datos!K10-Datos!U10)/Datos!U10," - ")</f>
        <v>-0.10256410256410256</v>
      </c>
      <c r="E10" s="516">
        <f>IF(ISNUMBER((Datos!L10-Datos!V10)/Datos!V10),(Datos!L10-Datos!V10)/Datos!V10," - ")</f>
        <v>0.58620689655172409</v>
      </c>
      <c r="F10" s="516">
        <f>IF(ISNUMBER((Datos!M10-Datos!W10)/Datos!W10),(Datos!M10-Datos!W10)/Datos!W10," - ")</f>
        <v>0.2857142857142857</v>
      </c>
      <c r="G10" s="517">
        <f>IF(ISNUMBER((Datos!N10-Datos!X10)/Datos!X10),(Datos!N10-Datos!X10)/Datos!X10," - ")</f>
        <v>-0.22580645161290322</v>
      </c>
      <c r="H10" s="515">
        <f>IF(ISNUMBER(((NºAsuntos!G10/NºAsuntos!E10)-Datos!BD10)/Datos!BD10),((NºAsuntos!G10/NºAsuntos!E10)-Datos!BD10)/Datos!BD10," - ")</f>
        <v>-0.21603300913645745</v>
      </c>
      <c r="I10" s="516">
        <f>IF(ISNUMBER(((NºAsuntos!I10/NºAsuntos!G10)-Datos!BE10)/Datos!BE10),((NºAsuntos!I10/NºAsuntos!G10)-Datos!BE10)/Datos!BE10," - ")</f>
        <v>0.76748768472906392</v>
      </c>
      <c r="J10" s="522">
        <f>IF(ISNUMBER((('Resol  Asuntos'!D10/NºAsuntos!G10)-Datos!BF10)/Datos!BF10),(('Resol  Asuntos'!D10/NºAsuntos!G10)-Datos!BF10)/Datos!BF10," - ")</f>
        <v>0.43265306122448993</v>
      </c>
      <c r="K10" s="523">
        <f>IF(ISNUMBER((((NºAsuntos!C10+NºAsuntos!E10)/NºAsuntos!G10)-Datos!BG10)/Datos!BG10),(((NºAsuntos!C10+NºAsuntos!E10)/NºAsuntos!G10)-Datos!BG10)/Datos!BG10," - ")</f>
        <v>0.20801068090787725</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0.22324687800192122</v>
      </c>
      <c r="C12" s="516">
        <f>IF(ISNUMBER(
   IF(J_V="SI",(Datos!J12-Datos!T12)/Datos!T12,(Datos!J12+Datos!Z12-(Datos!T12+Datos!AH12))/(Datos!T12+Datos!AH12))
     ),IF(J_V="SI",(Datos!J12-Datos!T12)/Datos!T12,(Datos!J12+Datos!Z12-(Datos!T12+Datos!AH12))/(Datos!T12+Datos!AH12))," - ")</f>
        <v>0.22647975077881619</v>
      </c>
      <c r="D12" s="516">
        <f>IF(ISNUMBER(
   IF(J_V="SI",(Datos!K12-Datos!U12)/Datos!U12,(Datos!K12+Datos!AA12-(Datos!U12+Datos!AI12))/(Datos!U12+Datos!AI12))
     ),IF(J_V="SI",(Datos!K12-Datos!U12)/Datos!U12,(Datos!K12+Datos!AA12-(Datos!U12+Datos!AI12))/(Datos!U12+Datos!AI12))," - ")</f>
        <v>0.470703125</v>
      </c>
      <c r="E12" s="516">
        <f>IF(ISNUMBER(
   IF(J_V="SI",(Datos!L12-Datos!V12)/Datos!V12,(Datos!L12+Datos!AB12-(Datos!V12+Datos!AJ12))/(Datos!V12+Datos!AJ12))
     ),IF(J_V="SI",(Datos!L12-Datos!V12)/Datos!V12,(Datos!L12+Datos!AB12-(Datos!V12+Datos!AJ12))/(Datos!V12+Datos!AJ12))," - ")</f>
        <v>5.0102088895869326E-2</v>
      </c>
      <c r="F12" s="516">
        <f>IF(ISNUMBER((Datos!M12-Datos!W12)/Datos!W12),(Datos!M12-Datos!W12)/Datos!W12," - ")</f>
        <v>0.66027397260273968</v>
      </c>
      <c r="G12" s="517">
        <f>IF(ISNUMBER((Datos!N12-Datos!X12)/Datos!X12),(Datos!N12-Datos!X12)/Datos!X12," - ")</f>
        <v>0.60129183793305929</v>
      </c>
      <c r="H12" s="515">
        <f>IF(ISNUMBER(((NºAsuntos!G12/NºAsuntos!E12)-Datos!BD12)/Datos!BD12),((NºAsuntos!G12/NºAsuntos!E12)-Datos!BD12)/Datos!BD12," - ")</f>
        <v>0.19912548418846834</v>
      </c>
      <c r="I12" s="516">
        <f>IF(ISNUMBER(((NºAsuntos!I12/NºAsuntos!G12)-Datos!BE12)/Datos!BE12),((NºAsuntos!I12/NºAsuntos!G12)-Datos!BE12)/Datos!BE12," - ")</f>
        <v>-0.28598636186628812</v>
      </c>
      <c r="J12" s="522">
        <f>IF(ISNUMBER((('Resol  Asuntos'!D12/NºAsuntos!G12)-Datos!BF12)/Datos!BF12),(('Resol  Asuntos'!D12/NºAsuntos!G12)-Datos!BF12)/Datos!BF12," - ")</f>
        <v>-0.27413774145929504</v>
      </c>
      <c r="K12" s="523">
        <f>IF(ISNUMBER((((NºAsuntos!C12+NºAsuntos!E12)/NºAsuntos!G12)-Datos!BG12)/Datos!BG12),(((NºAsuntos!C12+NºAsuntos!E12)/NºAsuntos!G12)-Datos!BG12)/Datos!BG12," - ")</f>
        <v>-0.1670431392708735</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0.22154316271963331</v>
      </c>
      <c r="C14" s="1155">
        <f>IF(ISNUMBER(
   IF(J_V="SI",(Datos!J14-Datos!T14)/Datos!T14,(Datos!J14+Datos!Z14-(Datos!T14+Datos!AH14))/(Datos!T14+Datos!AH14))
     ),IF(J_V="SI",(Datos!J14-Datos!T14)/Datos!T14,(Datos!J14+Datos!Z14-(Datos!T14+Datos!AH14))/(Datos!T14+Datos!AH14))," - ")</f>
        <v>0.22552339901477833</v>
      </c>
      <c r="D14" s="1155">
        <f>IF(ISNUMBER(
   IF(J_V="SI",(Datos!K14-Datos!U14)/Datos!U14,(Datos!K14+Datos!AA14-(Datos!U14+Datos!AI14))/(Datos!U14+Datos!AI14))
     ),IF(J_V="SI",(Datos!K14-Datos!U14)/Datos!U14,(Datos!K14+Datos!AA14-(Datos!U14+Datos!AI14))/(Datos!U14+Datos!AI14))," - ")</f>
        <v>0.46210080800307812</v>
      </c>
      <c r="E14" s="1155">
        <f>IF(ISNUMBER(
   IF(J_V="SI",(Datos!L14-Datos!V14)/Datos!V14,(Datos!L14+Datos!AB14-(Datos!V14+Datos!AJ14))/(Datos!V14+Datos!AJ14))
     ),IF(J_V="SI",(Datos!L14-Datos!V14)/Datos!V14,(Datos!L14+Datos!AB14-(Datos!V14+Datos!AJ14))/(Datos!V14+Datos!AJ14))," - ")</f>
        <v>5.2532833020637902E-2</v>
      </c>
      <c r="F14" s="1156">
        <f>IF(ISNUMBER((Datos!M14-Datos!W14)/Datos!W14),(Datos!M14-Datos!W14)/Datos!W14," - ")</f>
        <v>0.65322580645161288</v>
      </c>
      <c r="G14" s="1157">
        <f>IF(ISNUMBER((Datos!N14-Datos!X14)/Datos!X14),(Datos!N14-Datos!X14)/Datos!X14," - ")</f>
        <v>0.58650519031141868</v>
      </c>
      <c r="H14" s="1157">
        <f>IF(ISNUMBER(((NºAsuntos!G14/NºAsuntos!E14)-Datos!BD14)/Datos!BD14),((NºAsuntos!G14/NºAsuntos!E14)-Datos!BD14)/Datos!BD14," - ")</f>
        <v>0.19304193553422877</v>
      </c>
      <c r="I14" s="1157">
        <f>IF(ISNUMBER(((NºAsuntos!I14/NºAsuntos!G14)-Datos!BE14)/Datos!BE14),((NºAsuntos!I14/NºAsuntos!G14)-Datos!BE14)/Datos!BE14," - ")</f>
        <v>-0.28012293867877947</v>
      </c>
      <c r="J14" s="1157">
        <f>IF(ISNUMBER((('Resol  Asuntos'!D14/NºAsuntos!G14)-Datos!BF14)/Datos!BF14),(('Resol  Asuntos'!D14/NºAsuntos!G14)-Datos!BF14)/Datos!BF14," - ")</f>
        <v>-0.26804936500183169</v>
      </c>
      <c r="K14" s="1157">
        <f>IF(ISNUMBER((((NºAsuntos!C14+NºAsuntos!E14)/NºAsuntos!G14)-Datos!BG14)/Datos!BG14),(((NºAsuntos!C14+NºAsuntos!E14)/NºAsuntos!G14)-Datos!BG14)/Datos!BG14," - ")</f>
        <v>-0.16302144831051366</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0.26794520547945205</v>
      </c>
      <c r="C17" s="516">
        <f>IF(ISNUMBER(
   IF(D_I="SI",(Datos!J17-Datos!T17)/Datos!T17,(Datos!J17+Datos!AD17-(Datos!T17+Datos!AL17))/(Datos!T17+Datos!AL17))
     ),IF(D_I="SI",(Datos!J17-Datos!T17)/Datos!T17,(Datos!J17+Datos!AD17-(Datos!T17+Datos!AL17))/(Datos!T17+Datos!AL17))," - ")</f>
        <v>0.14897227984159908</v>
      </c>
      <c r="D17" s="516">
        <f>IF(ISNUMBER(
   IF(D_I="SI",(Datos!K17-Datos!U17)/Datos!U17,(Datos!K17+Datos!AE17-(Datos!U17+Datos!AM17))/(Datos!U17+Datos!AM17))
     ),IF(D_I="SI",(Datos!K17-Datos!U17)/Datos!U17,(Datos!K17+Datos!AE17-(Datos!U17+Datos!AM17))/(Datos!U17+Datos!AM17))," - ")</f>
        <v>0.24194863432531594</v>
      </c>
      <c r="E17" s="516">
        <f>IF(ISNUMBER(
   IF(D_I="SI",(Datos!L17-Datos!V17)/Datos!V17,(Datos!L17+Datos!AF17-(Datos!V17+Datos!AN17))/(Datos!V17+Datos!AN17))
     ),IF(D_I="SI",(Datos!L17-Datos!V17)/Datos!V17,(Datos!L17+Datos!AF17-(Datos!V17+Datos!AN17))/(Datos!V17+Datos!AN17))," - ")</f>
        <v>-6.4822817631806397E-3</v>
      </c>
      <c r="F17" s="516">
        <f>IF(ISNUMBER((Datos!M17-Datos!W17)/Datos!W17),(Datos!M17-Datos!W17)/Datos!W17," - ")</f>
        <v>0.51883561643835618</v>
      </c>
      <c r="G17" s="517">
        <f>IF(ISNUMBER((Datos!N17-Datos!X17)/Datos!X17),(Datos!N17-Datos!X17)/Datos!X17," - ")</f>
        <v>0.12921348314606743</v>
      </c>
      <c r="H17" s="515">
        <f>IF(ISNUMBER(((NºAsuntos!G17/NºAsuntos!E17)-Datos!BD17)/Datos!BD17),((NºAsuntos!G17/NºAsuntos!E17)-Datos!BD17)/Datos!BD17," - ")</f>
        <v>8.0921320831634683E-2</v>
      </c>
      <c r="I17" s="516">
        <f>IF(ISNUMBER(((NºAsuntos!I17/NºAsuntos!G17)-Datos!BE17)/Datos!BE17),((NºAsuntos!I17/NºAsuntos!G17)-Datos!BE17)/Datos!BE17," - ")</f>
        <v>-0.2000331649975651</v>
      </c>
      <c r="J17" s="522">
        <f>IF(ISNUMBER((('Resol  Asuntos'!D17/NºAsuntos!G17)-Datos!BF17)/Datos!BF17),(('Resol  Asuntos'!D17/NºAsuntos!G17)-Datos!BF17)/Datos!BF17," - ")</f>
        <v>0.22294559892443386</v>
      </c>
      <c r="K17" s="523">
        <f>IF(ISNUMBER((((NºAsuntos!C17+NºAsuntos!E17)/NºAsuntos!G17)-Datos!BG17)/Datos!BG17),(((NºAsuntos!C17+NºAsuntos!E17)/NºAsuntos!G17)-Datos!BG17)/Datos!BG17," - ")</f>
        <v>-5.0336552976194118E-2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0.27407407407407408</v>
      </c>
      <c r="C18" s="516">
        <f>IF(ISNUMBER(
   IF(D_I="SI",(Datos!J18-Datos!T18)/Datos!T18,(Datos!J18+Datos!AD18-(Datos!T18+Datos!AL18))/(Datos!T18+Datos!AL18))
     ),IF(D_I="SI",(Datos!J18-Datos!T18)/Datos!T18,(Datos!J18+Datos!AD18-(Datos!T18+Datos!AL18))/(Datos!T18+Datos!AL18))," - ")</f>
        <v>-2.4070021881838075E-2</v>
      </c>
      <c r="D18" s="516">
        <f>IF(ISNUMBER(
   IF(D_I="SI",(Datos!K18-Datos!U18)/Datos!U18,(Datos!K18+Datos!AE18-(Datos!U18+Datos!AM18))/(Datos!U18+Datos!AM18))
     ),IF(D_I="SI",(Datos!K18-Datos!U18)/Datos!U18,(Datos!K18+Datos!AE18-(Datos!U18+Datos!AM18))/(Datos!U18+Datos!AM18))," - ")</f>
        <v>0.14285714285714285</v>
      </c>
      <c r="E18" s="516">
        <f>IF(ISNUMBER(
   IF(D_I="SI",(Datos!L18-Datos!V18)/Datos!V18,(Datos!L18+Datos!AF18-(Datos!V18+Datos!AN18))/(Datos!V18+Datos!AN18))
     ),IF(D_I="SI",(Datos!L18-Datos!V18)/Datos!V18,(Datos!L18+Datos!AF18-(Datos!V18+Datos!AN18))/(Datos!V18+Datos!AN18))," - ")</f>
        <v>-0.19767441860465115</v>
      </c>
      <c r="F18" s="516">
        <f>IF(ISNUMBER((Datos!M18-Datos!W18)/Datos!W18),(Datos!M18-Datos!W18)/Datos!W18," - ")</f>
        <v>2.0408163265306121E-2</v>
      </c>
      <c r="G18" s="517">
        <f>IF(ISNUMBER((Datos!N18-Datos!X18)/Datos!X18),(Datos!N18-Datos!X18)/Datos!X18," - ")</f>
        <v>-2.7777777777777776E-2</v>
      </c>
      <c r="H18" s="515">
        <f>IF(ISNUMBER(((NºAsuntos!G18/NºAsuntos!E18)-Datos!BD18)/Datos!BD18),((NºAsuntos!G18/NºAsuntos!E18)-Datos!BD18)/Datos!BD18," - ")</f>
        <v>0.17104420243433696</v>
      </c>
      <c r="I18" s="516">
        <f>IF(ISNUMBER(((NºAsuntos!I18/NºAsuntos!G18)-Datos!BE18)/Datos!BE18),((NºAsuntos!I18/NºAsuntos!G18)-Datos!BE18)/Datos!BE18," - ")</f>
        <v>-0.2979651162790698</v>
      </c>
      <c r="J18" s="522">
        <f>IF(ISNUMBER((('Resol  Asuntos'!D18/NºAsuntos!G18)-Datos!BF18)/Datos!BF18),(('Resol  Asuntos'!D18/NºAsuntos!G18)-Datos!BF18)/Datos!BF18," - ")</f>
        <v>-0.10714285714285712</v>
      </c>
      <c r="K18" s="523">
        <f>IF(ISNUMBER((((NºAsuntos!C18+NºAsuntos!E18)/NºAsuntos!G18)-Datos!BG18)/Datos!BG18),(((NºAsuntos!C18+NºAsuntos!E18)/NºAsuntos!G18)-Datos!BG18)/Datos!BG18," - ")</f>
        <v>-8.6570945945945943E-2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0.26836734693877551</v>
      </c>
      <c r="C23" s="1155">
        <f>IF(ISNUMBER(
   IF(Criterios!B14="SI",(Datos!J23-Datos!T23)/Datos!T23,(Datos!J23+Datos!AD23-(Datos!T23+Datos!AL23))/(Datos!T23+Datos!AL23))
     ),IF(Criterios!B14="SI",(Datos!J23-Datos!T23)/Datos!T23,(Datos!J23+Datos!AD23-(Datos!T23+Datos!AL23))/(Datos!T23+Datos!AL23))," - ")</f>
        <v>0.13524305555555555</v>
      </c>
      <c r="D23" s="1155">
        <f>IF(ISNUMBER(
   IF(Criterios!B14="SI",(Datos!K23-Datos!U23)/Datos!U23,(Datos!K23+Datos!AE23-(Datos!U23+Datos!AM23))/(Datos!U23+Datos!AM23))
     ),IF(Criterios!B14="SI",(Datos!K23-Datos!U23)/Datos!U23,(Datos!K23+Datos!AE23-(Datos!U23+Datos!AM23))/(Datos!U23+Datos!AM23))," - ")</f>
        <v>0.23413443484791588</v>
      </c>
      <c r="E23" s="1155">
        <f>IF(ISNUMBER(
   IF(Criterios!B14="SI",(Datos!L23-Datos!V23)/Datos!V23,(Datos!L23+Datos!AF23-(Datos!V23+Datos!AN23))/(Datos!V23+Datos!AN23))
     ),IF(Criterios!B14="SI",(Datos!L23-Datos!V23)/Datos!V23,(Datos!L23+Datos!AF23-(Datos!V23+Datos!AN23))/(Datos!V23+Datos!AN23))," - ")</f>
        <v>-1.9710378117457763E-2</v>
      </c>
      <c r="F23" s="1156">
        <f>IF(ISNUMBER((Datos!M23-Datos!W23)/Datos!W23),(Datos!M23-Datos!W23)/Datos!W23," - ")</f>
        <v>0.48025276461295419</v>
      </c>
      <c r="G23" s="1157">
        <f>IF(ISNUMBER((Datos!N23-Datos!X23)/Datos!X23),(Datos!N23-Datos!X23)/Datos!X23," - ")</f>
        <v>0.11929824561403508</v>
      </c>
      <c r="H23" s="1157">
        <f>IF(ISNUMBER(((NºAsuntos!G23/NºAsuntos!E23)-Datos!BD23)/Datos!BD23),((NºAsuntos!G23/NºAsuntos!E23)-Datos!BD23)/Datos!BD23," - ")</f>
        <v>8.7110314226027677E-2</v>
      </c>
      <c r="I23" s="1157">
        <f>IF(ISNUMBER(((NºAsuntos!I23/NºAsuntos!G23)-Datos!BE23)/Datos!BE23),((NºAsuntos!I23/NºAsuntos!G23)-Datos!BE23)/Datos!BE23," - ")</f>
        <v>-0.20568651663678386</v>
      </c>
      <c r="J23" s="1157">
        <f>IF(ISNUMBER((('Resol  Asuntos'!D23/NºAsuntos!G23)-Datos!BF23)/Datos!BF23),(('Resol  Asuntos'!D23/NºAsuntos!G23)-Datos!BF23)/Datos!BF23," - ")</f>
        <v>0.19942586708178831</v>
      </c>
      <c r="K23" s="1157">
        <f>IF(ISNUMBER((((NºAsuntos!C23+NºAsuntos!E23)/NºAsuntos!G23)-Datos!BG23)/Datos!BG23),(((NºAsuntos!C23+NºAsuntos!E23)/NºAsuntos!G23)-Datos!BG23)/Datos!BG23," - ")</f>
        <v>-5.274383586803915E-2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0.23429683157309616</v>
      </c>
      <c r="C31" s="1095">
        <f>IF(ISNUMBER(
   IF(J_V="SI",(Datos!J31-Datos!T31)/Datos!T31,(Datos!J31+Datos!Z31-(Datos!T31+Datos!AH31))/(Datos!T31+Datos!AH31))
     ),IF(J_V="SI",(Datos!J31-Datos!T31)/Datos!T31,(Datos!J31+Datos!Z31-(Datos!T31+Datos!AH31))/(Datos!T31+Datos!AH31))," - ")</f>
        <v>0.1830939947780679</v>
      </c>
      <c r="D31" s="1095">
        <f>IF(ISNUMBER(
   IF(J_V="SI",(Datos!K31-Datos!U31)/Datos!U31,(Datos!K31+Datos!AA31-(Datos!U31+Datos!AI31))/(Datos!U31+Datos!AI31))
     ),IF(J_V="SI",(Datos!K31-Datos!U31)/Datos!U31,(Datos!K31+Datos!AA31-(Datos!U31+Datos!AI31))/(Datos!U31+Datos!AI31))," - ")</f>
        <v>0.346731280881794</v>
      </c>
      <c r="E31" s="1095">
        <f>IF(ISNUMBER(
   IF(J_V="SI",(Datos!L31-Datos!V31)/Datos!V31,(Datos!L31+Datos!AB31-(Datos!V31+Datos!AJ31))/(Datos!V31+Datos!AJ31))
     ),IF(J_V="SI",(Datos!L31-Datos!V31)/Datos!V31,(Datos!L31+Datos!AB31-(Datos!V31+Datos!AJ31))/(Datos!V31+Datos!AJ31))," - ")</f>
        <v>3.2312542220220668E-2</v>
      </c>
      <c r="F31" s="1096">
        <f>IF(ISNUMBER((Datos!M31-Datos!W31)/Datos!W31),(Datos!M31-Datos!W31)/Datos!W31," - ")</f>
        <v>0.59062321326472267</v>
      </c>
      <c r="G31" s="1097">
        <f>IF(ISNUMBER((Datos!N31-Datos!X31)/Datos!X31),(Datos!N31-Datos!X31)/Datos!X31," - ")</f>
        <v>0.27648428405122233</v>
      </c>
      <c r="H31" s="1098">
        <f>IF(ISNUMBER((Tasas!B31-Datos!BD31)/Datos!BD31),(Tasas!B31-Datos!BD31)/Datos!BD31," - ")</f>
        <v>0.13831300541291497</v>
      </c>
      <c r="I31" s="1099">
        <f>IF(ISNUMBER((Tasas!C31-Datos!BE31)/Datos!BE31),(Tasas!C31-Datos!BE31)/Datos!BE31," - ")</f>
        <v>-0.23346805938576146</v>
      </c>
      <c r="J31" s="1100">
        <f>IF(ISNUMBER((Tasas!D31-Datos!BF31)/Datos!BF31),(Tasas!D31-Datos!BF31)/Datos!BF31," - ")</f>
        <v>-0.1235712905926616</v>
      </c>
      <c r="K31" s="1100">
        <f>IF(ISNUMBER((Tasas!E31-Datos!BG31)/Datos!BG31),(Tasas!E31-Datos!BG31)/Datos!BG31," - ")</f>
        <v>-0.10744199867739936</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O/hXfWVcxWlEsM1LUzwmf5zkxDQku+z88Tcppyn03GS4/n+2KYjC1Wzx2cfFBD9sIU82s+fJHneXRXGtOrOY9g==" saltValue="W3ql1OSSSO2e0qQpIVlU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RUBI</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0.8045977011494253</v>
      </c>
      <c r="C10" s="499">
        <f>IF(ISNUMBER(NºAsuntos!I10/NºAsuntos!G10),NºAsuntos!I10/NºAsuntos!G10," - ")</f>
        <v>0.65714285714285714</v>
      </c>
      <c r="D10" s="500">
        <f>IF(ISNUMBER('Resol  Asuntos'!D10/NºAsuntos!G10),'Resol  Asuntos'!D10/NºAsuntos!G10," - ")</f>
        <v>0.38571428571428573</v>
      </c>
      <c r="E10" s="501">
        <f>IF(ISNUMBER((NºAsuntos!C10+NºAsuntos!E10)/NºAsuntos!G10),(NºAsuntos!C10+NºAsuntos!E10)/NºAsuntos!G10," - ")</f>
        <v>1.6571428571428573</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0.9563119126238252</v>
      </c>
      <c r="C12" s="499">
        <f>IF(ISNUMBER(NºAsuntos!I12/NºAsuntos!G12),NºAsuntos!I12/NºAsuntos!G12," - ")</f>
        <v>0.88791500664010625</v>
      </c>
      <c r="D12" s="500">
        <f>IF(ISNUMBER('Resol  Asuntos'!D12/NºAsuntos!G12),'Resol  Asuntos'!D12/NºAsuntos!G12," - ")</f>
        <v>0.24143426294820716</v>
      </c>
      <c r="E12" s="501">
        <f>IF(ISNUMBER((NºAsuntos!C12+NºAsuntos!E12)/NºAsuntos!G12),(NºAsuntos!C12+NºAsuntos!E12)/NºAsuntos!G12," - ")</f>
        <v>1.8912350597609562</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0.95465393794749398</v>
      </c>
      <c r="C14" s="1159">
        <f>IF(ISNUMBER(NºAsuntos!I14/NºAsuntos!G14),NºAsuntos!I14/NºAsuntos!G14," - ")</f>
        <v>0.88578947368421057</v>
      </c>
      <c r="D14" s="1160">
        <f>IF(ISNUMBER('Resol  Asuntos'!D14/NºAsuntos!G14),'Resol  Asuntos'!D14/NºAsuntos!G14," - ")</f>
        <v>0.24276315789473685</v>
      </c>
      <c r="E14" s="1161">
        <f>IF(ISNUMBER((NºAsuntos!C14+NºAsuntos!E14)/NºAsuntos!G14),(NºAsuntos!C14+NºAsuntos!E14)/NºAsuntos!G14," - ")</f>
        <v>1.8890789473684211</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v>
      </c>
      <c r="C17" s="499">
        <f>IF(ISNUMBER(NºAsuntos!I17/NºAsuntos!G17),NºAsuntos!I17/NºAsuntos!G17," - ")</f>
        <v>0.37731823403906123</v>
      </c>
      <c r="D17" s="500">
        <f>IF(ISNUMBER('Resol  Asuntos'!D17/NºAsuntos!G17),'Resol  Asuntos'!D17/NºAsuntos!G17," - ")</f>
        <v>0.14557689151485312</v>
      </c>
      <c r="E17" s="501">
        <f>IF(ISNUMBER((NºAsuntos!C17+NºAsuntos!E17)/NºAsuntos!G17),(NºAsuntos!C17+NºAsuntos!E17)/NºAsuntos!G17," - ")</f>
        <v>1.3797800754964713</v>
      </c>
      <c r="G17" s="524"/>
    </row>
    <row r="18" spans="1:7">
      <c r="A18" s="451" t="str">
        <f>Datos!A18</f>
        <v>Jdos. Violencia contra la mujer</v>
      </c>
      <c r="B18" s="498">
        <f>IF(ISNUMBER(NºAsuntos!G18/NºAsuntos!E18),NºAsuntos!G18/NºAsuntos!E18," - ")</f>
        <v>1.0762331838565022</v>
      </c>
      <c r="C18" s="499">
        <f>IF(ISNUMBER(NºAsuntos!I18/NºAsuntos!G18),NºAsuntos!I18/NºAsuntos!G18," - ")</f>
        <v>0.28749999999999998</v>
      </c>
      <c r="D18" s="500">
        <f>IF(ISNUMBER('Resol  Asuntos'!D18/NºAsuntos!G18),'Resol  Asuntos'!D18/NºAsuntos!G18," - ")</f>
        <v>0.10416666666666667</v>
      </c>
      <c r="E18" s="501">
        <f>IF(ISNUMBER((NºAsuntos!C18+NºAsuntos!E18)/NºAsuntos!G18),(NºAsuntos!C18+NºAsuntos!E18)/NºAsuntos!G18," - ")</f>
        <v>1.2875000000000001</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1.0051995717999693</v>
      </c>
      <c r="C23" s="1159">
        <f>IF(ISNUMBER(NºAsuntos!I23/NºAsuntos!G23),NºAsuntos!I23/NºAsuntos!G23," - ")</f>
        <v>0.37075916628632283</v>
      </c>
      <c r="D23" s="1162">
        <f>IF(ISNUMBER('Resol  Asuntos'!D23/NºAsuntos!G23),'Resol  Asuntos'!D23/NºAsuntos!G23," - ")</f>
        <v>0.14255286779248441</v>
      </c>
      <c r="E23" s="1161">
        <f>IF(ISNUMBER((NºAsuntos!C23+NºAsuntos!E23)/NºAsuntos!G23),(NºAsuntos!C23+NºAsuntos!E23)/NºAsuntos!G23," - ")</f>
        <v>1.3730412292712613</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0.97744827586206895</v>
      </c>
      <c r="C31" s="1102">
        <f>IF(ISNUMBER(NºAsuntos!I31/NºAsuntos!G31),NºAsuntos!I31/NºAsuntos!G31," - ")</f>
        <v>0.64693431171946658</v>
      </c>
      <c r="D31" s="1103">
        <f>IF(ISNUMBER('Resol  Asuntos'!D31/NºAsuntos!G31),'Resol  Asuntos'!D31/NºAsuntos!G31," - ")</f>
        <v>0.19628871798490086</v>
      </c>
      <c r="E31" s="1104">
        <f>IF(ISNUMBER((NºAsuntos!C31+NºAsuntos!E31)/NºAsuntos!G31),(NºAsuntos!C31+NºAsuntos!E31)/NºAsuntos!G31," - ")</f>
        <v>1.6497565794115572</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1EZ/iUE8ae8Z+cM704pEOwvH+mnIoe85n+03kk2TSdOi8RzefVNWdLAjXuvszVcUGkDndRE6Pgw2MY0YQyOENA==" saltValue="owbCczMZqpdnmFw4sT3h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RUBI</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70</v>
      </c>
      <c r="X10" s="240">
        <f>IF(ISNUMBER(Datos!Q10),Datos!Q10," - ")</f>
        <v>18</v>
      </c>
      <c r="Y10" s="374">
        <f t="shared" ref="Y10:Y13" si="0">SUM(W10:X10)</f>
        <v>88</v>
      </c>
      <c r="Z10" s="375" t="str">
        <f>IF(ISNUMBER(Datos!CC10),Datos!CC10," - ")</f>
        <v xml:space="preserve"> - </v>
      </c>
      <c r="AA10" s="372">
        <f>IF(ISNUMBER(Datos!L10),Datos!L10,"-")</f>
        <v>46</v>
      </c>
      <c r="AB10" s="374">
        <f>IF(ISNUMBER(Datos!R10),Datos!R10," - ")</f>
        <v>69</v>
      </c>
      <c r="AC10" s="374">
        <f t="shared" ref="AC10:AC13" si="1">IF(ISNUMBER(AA10+AB10),AA10+AB10," - ")</f>
        <v>115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0.8045977011494253</v>
      </c>
      <c r="AM10" s="284">
        <f>IF(ISNUMBER(((NºAsuntos!I10/NºAsuntos!G10)*11)/factor_trimestre),((NºAsuntos!I10/NºAsuntos!G10)*11)/factor_trimestre," - ")</f>
        <v>7.2285714285714286</v>
      </c>
      <c r="AN10" s="267">
        <f>IF(ISNUMBER('Resol  Asuntos'!D10/NºAsuntos!G10),'Resol  Asuntos'!D10/NºAsuntos!G10," - ")</f>
        <v>0.38571428571428573</v>
      </c>
      <c r="AO10" s="268">
        <f>IF(ISNUMBER((NºAsuntos!C10+NºAsuntos!E10)/NºAsuntos!G10),(NºAsuntos!C10+NºAsuntos!E10)/NºAsuntos!G10," - ")</f>
        <v>1.6571428571428573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8</v>
      </c>
      <c r="B12" s="300" t="s">
        <v>324</v>
      </c>
      <c r="C12" s="7" t="str">
        <f>Datos!A12</f>
        <v xml:space="preserve">Jdos. 1ª Instª. e Instr.                        </v>
      </c>
      <c r="D12" s="7"/>
      <c r="E12" s="290">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1605</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1964</v>
      </c>
      <c r="Y12" s="374">
        <f t="shared" si="0"/>
        <v>1964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1818</v>
      </c>
      <c r="AJ12" s="243" t="str">
        <f>IF(ISNUMBER(Datos!BW12),Datos!BW12," - ")</f>
        <v xml:space="preserve"> - </v>
      </c>
      <c r="AK12" s="242" t="str">
        <f>IF(ISNUMBER(Datos!BX12),Datos!BX12," - ")</f>
        <v xml:space="preserve"> - </v>
      </c>
      <c r="AL12" s="266">
        <f>IF(ISNUMBER(NºAsuntos!G12/NºAsuntos!E12),NºAsuntos!G12/NºAsuntos!E12," - ")</f>
        <v>0.9563119126238252</v>
      </c>
      <c r="AM12" s="284">
        <f>IF(ISNUMBER(((NºAsuntos!I12/NºAsuntos!G12)*11)/factor_trimestre),((NºAsuntos!I12/NºAsuntos!G12)*11)/factor_trimestre," - ")</f>
        <v>9.7670650730411683</v>
      </c>
      <c r="AN12" s="267">
        <f>IF(ISNUMBER('Resol  Asuntos'!D12/NºAsuntos!G12),'Resol  Asuntos'!D12/NºAsuntos!G12," - ")</f>
        <v>0.24143426294820716</v>
      </c>
      <c r="AO12" s="268">
        <f>IF(ISNUMBER((NºAsuntos!C12+NºAsuntos!E12)/NºAsuntos!G12),(NºAsuntos!C12+NºAsuntos!E12)/NºAsuntos!G12," - ")</f>
        <v>1.8912350597609562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8</v>
      </c>
      <c r="F14" s="1165">
        <f t="shared" si="5"/>
        <v>29</v>
      </c>
      <c r="G14" s="1166">
        <f t="shared" si="5"/>
        <v>29</v>
      </c>
      <c r="H14" s="1165">
        <f t="shared" si="5"/>
        <v>0</v>
      </c>
      <c r="I14" s="1167">
        <f t="shared" si="5"/>
        <v>0</v>
      </c>
      <c r="J14" s="1167">
        <f t="shared" si="5"/>
        <v>0</v>
      </c>
      <c r="K14" s="1167">
        <f t="shared" si="5"/>
        <v>0</v>
      </c>
      <c r="L14" s="1167">
        <f t="shared" si="5"/>
        <v>1617</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70</v>
      </c>
      <c r="X14" s="1167">
        <f t="shared" si="6"/>
        <v>1982</v>
      </c>
      <c r="Y14" s="1168">
        <f t="shared" si="6"/>
        <v>2052</v>
      </c>
      <c r="Z14" s="1168">
        <f t="shared" si="6"/>
        <v>0</v>
      </c>
      <c r="AA14" s="1168">
        <f t="shared" si="6"/>
        <v>46</v>
      </c>
      <c r="AB14" s="1168">
        <f t="shared" si="6"/>
        <v>7542</v>
      </c>
      <c r="AC14" s="1168">
        <f t="shared" si="6"/>
        <v>115</v>
      </c>
      <c r="AD14" s="1168">
        <f t="shared" si="6"/>
        <v>0</v>
      </c>
      <c r="AE14" s="1172">
        <f t="shared" si="6"/>
        <v>0</v>
      </c>
      <c r="AF14" s="1165">
        <f t="shared" si="6"/>
        <v>0</v>
      </c>
      <c r="AG14" s="1173">
        <f t="shared" si="6"/>
        <v>0</v>
      </c>
      <c r="AH14" s="1170">
        <f t="shared" si="6"/>
        <v>0</v>
      </c>
      <c r="AI14" s="1165">
        <f t="shared" si="6"/>
        <v>1845</v>
      </c>
      <c r="AJ14" s="1167">
        <f t="shared" si="6"/>
        <v>0</v>
      </c>
      <c r="AK14" s="1170">
        <f>SUBTOTAL(9,AK9:AK13)</f>
        <v>0</v>
      </c>
      <c r="AL14" s="1174">
        <f>IF(ISNUMBER(NºAsuntos!G14/NºAsuntos!E14),NºAsuntos!G14/NºAsuntos!E14," - ")</f>
        <v>0.95465393794749398</v>
      </c>
      <c r="AM14" s="1174">
        <f>IF(ISNUMBER(((NºAsuntos!I14/NºAsuntos!G14)*11)/factor_trimestre),((NºAsuntos!I14/NºAsuntos!G14)*11)/factor_trimestre," - ")</f>
        <v>9.7436842105263164</v>
      </c>
      <c r="AN14" s="1175">
        <f>IF(ISNUMBER('Resol  Asuntos'!D14/NºAsuntos!G14),'Resol  Asuntos'!D14/NºAsuntos!G14," - ")</f>
        <v>0.24276315789473685</v>
      </c>
      <c r="AO14" s="1176">
        <f>IF(ISNUMBER((NºAsuntos!C14+NºAsuntos!E14)/NºAsuntos!G14),(NºAsuntos!C14+NºAsuntos!E14)/NºAsuntos!G14," - ")</f>
        <v>1.8890789473684211</v>
      </c>
      <c r="AP14" s="1177" t="str">
        <f t="shared" si="2"/>
        <v xml:space="preserve"> - </v>
      </c>
      <c r="AQ14" s="1177">
        <f>IF(ISNUMBER((H14-W14+K14)/(F14)),(H14-W14+K14)/(F14)," - ")</f>
        <v>-2.4137931034482758</v>
      </c>
      <c r="AR14" s="1178">
        <f>IF(ISNUMBER((Datos!P14-Datos!Q14)/(Datos!R14-Datos!P14+Datos!Q14)),(Datos!P14-Datos!Q14)/(Datos!R14-Datos!P14+Datos!Q14)," - ")</f>
        <v>-4.6161628936385479E-2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8</v>
      </c>
      <c r="B17" s="300" t="s">
        <v>515</v>
      </c>
      <c r="C17" s="173" t="str">
        <f>Datos!A17</f>
        <v xml:space="preserve">Jdos. 1ª Instª. e Instr.                        </v>
      </c>
      <c r="D17" s="173"/>
      <c r="E17" s="290">
        <f>IF(ISNUMBER(Datos!AQ17),Datos!AQ17," - ")</f>
        <v>8</v>
      </c>
      <c r="F17" s="239">
        <f>IF(ISNUMBER(AA17+W17-Datos!J17-K17),AA17+W17-Datos!J17-K17," - ")</f>
        <v>2299</v>
      </c>
      <c r="G17" s="373">
        <f>IF(ISNUMBER(IF(D_I="SI",Datos!I17,Datos!I17+Datos!AC17)),IF(D_I="SI",Datos!I17,Datos!I17+Datos!AC17)," - ")</f>
        <v>2314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296</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6093</v>
      </c>
      <c r="X17" s="240">
        <f>IF(ISNUMBER(Datos!Q17),Datos!Q17," - ")</f>
        <v>238</v>
      </c>
      <c r="Y17" s="374">
        <f t="shared" ref="Y17:Y22" si="9">SUM(W17:X17)</f>
        <v>6331</v>
      </c>
      <c r="Z17" s="375" t="str">
        <f>IF(ISNUMBER(Datos!CC17),Datos!CC17," - ")</f>
        <v xml:space="preserve"> - </v>
      </c>
      <c r="AA17" s="372">
        <f>IF(ISNUMBER(IF(D_I="SI",Datos!L17,Datos!L17+Datos!AF17)),IF(D_I="SI",Datos!L17,Datos!L17+Datos!AF17)," - ")</f>
        <v>2299</v>
      </c>
      <c r="AB17" s="374">
        <f>IF(ISNUMBER(Datos!R17),Datos!R17," - ")</f>
        <v>398</v>
      </c>
      <c r="AC17" s="374">
        <f t="shared" si="8"/>
        <v>2697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887</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4.1505005744296737</v>
      </c>
      <c r="AN17" s="267">
        <f>IF(ISNUMBER('Resol  Asuntos'!D17/NºAsuntos!G17),'Resol  Asuntos'!D17/NºAsuntos!G17," - ")</f>
        <v>0.14557689151485312</v>
      </c>
      <c r="AO17" s="268">
        <f>IF(ISNUMBER((NºAsuntos!C17+NºAsuntos!E17)/NºAsuntos!G17),(NºAsuntos!C17+NºAsuntos!E17)/NºAsuntos!G17," - ")</f>
        <v>1.3797800754964713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480</v>
      </c>
      <c r="X18" s="240">
        <f>IF(ISNUMBER(Datos!Q18),Datos!Q18," - ")</f>
        <v>3</v>
      </c>
      <c r="Y18" s="374">
        <f t="shared" si="9"/>
        <v>483</v>
      </c>
      <c r="Z18" s="375" t="str">
        <f>IF(ISNUMBER(Datos!CC18),Datos!CC18," - ")</f>
        <v xml:space="preserve"> - </v>
      </c>
      <c r="AA18" s="372">
        <f>IF(ISNUMBER(Datos!L18),Datos!L18,"-")</f>
        <v>138</v>
      </c>
      <c r="AB18" s="374">
        <f>IF(ISNUMBER(Datos!R18),Datos!R18," - ")</f>
        <v>12</v>
      </c>
      <c r="AC18" s="374">
        <f t="shared" si="8"/>
        <v>150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50</v>
      </c>
      <c r="AJ18" s="245" t="str">
        <f>IF(ISNUMBER(Datos!BW18),Datos!BW18," - ")</f>
        <v xml:space="preserve"> - </v>
      </c>
      <c r="AK18" s="246" t="str">
        <f>IF(ISNUMBER(Datos!BX18),Datos!BX18," - ")</f>
        <v xml:space="preserve"> - </v>
      </c>
      <c r="AL18" s="266">
        <f>IF(ISNUMBER(NºAsuntos!G18/NºAsuntos!E18),NºAsuntos!G18/NºAsuntos!E18," - ")</f>
        <v>1.0762331838565022</v>
      </c>
      <c r="AM18" s="284">
        <f>IF(ISNUMBER(((NºAsuntos!I18/NºAsuntos!G18)*11)/factor_trimestre),((NºAsuntos!I18/NºAsuntos!G18)*11)/factor_trimestre," - ")</f>
        <v>3.1624999999999996</v>
      </c>
      <c r="AN18" s="267">
        <f>IF(ISNUMBER('Resol  Asuntos'!D18/NºAsuntos!G18),'Resol  Asuntos'!D18/NºAsuntos!G18," - ")</f>
        <v>0.10416666666666667</v>
      </c>
      <c r="AO18" s="268">
        <f>IF(ISNUMBER((NºAsuntos!C18+NºAsuntos!E18)/NºAsuntos!G18),(NºAsuntos!C18+NºAsuntos!E18)/NºAsuntos!G18," - ")</f>
        <v>1.2875000000000001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8</v>
      </c>
      <c r="F23" s="1165">
        <f>SUBTOTAL(9,F15:F22)</f>
        <v>2299</v>
      </c>
      <c r="G23" s="1166">
        <f>SUBTOTAL(9,G16:G22)</f>
        <v>2486</v>
      </c>
      <c r="H23" s="1165">
        <f t="shared" ref="H23:O23" si="13">SUBTOTAL(9,H15:H22)</f>
        <v>0</v>
      </c>
      <c r="I23" s="1167">
        <f t="shared" si="13"/>
        <v>0</v>
      </c>
      <c r="J23" s="1167">
        <f t="shared" si="13"/>
        <v>0</v>
      </c>
      <c r="K23" s="1167">
        <f t="shared" si="13"/>
        <v>0</v>
      </c>
      <c r="L23" s="1167">
        <f t="shared" si="13"/>
        <v>304</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6573</v>
      </c>
      <c r="X23" s="1167">
        <f t="shared" si="14"/>
        <v>241</v>
      </c>
      <c r="Y23" s="1168">
        <f t="shared" si="14"/>
        <v>6814</v>
      </c>
      <c r="Z23" s="1168">
        <f t="shared" si="14"/>
        <v>0</v>
      </c>
      <c r="AA23" s="1168">
        <f t="shared" si="14"/>
        <v>2437</v>
      </c>
      <c r="AB23" s="1168">
        <f t="shared" si="14"/>
        <v>410</v>
      </c>
      <c r="AC23" s="1168">
        <f t="shared" si="14"/>
        <v>2847</v>
      </c>
      <c r="AD23" s="1168">
        <f t="shared" si="14"/>
        <v>0</v>
      </c>
      <c r="AE23" s="1172">
        <f t="shared" si="14"/>
        <v>0</v>
      </c>
      <c r="AF23" s="1165">
        <f t="shared" si="14"/>
        <v>0</v>
      </c>
      <c r="AG23" s="1173">
        <f t="shared" si="14"/>
        <v>0</v>
      </c>
      <c r="AH23" s="1170">
        <f t="shared" si="14"/>
        <v>0</v>
      </c>
      <c r="AI23" s="1165">
        <f t="shared" si="14"/>
        <v>937</v>
      </c>
      <c r="AJ23" s="1167">
        <f t="shared" si="14"/>
        <v>0</v>
      </c>
      <c r="AK23" s="1170">
        <f t="shared" si="14"/>
        <v>0</v>
      </c>
      <c r="AL23" s="1174">
        <f>IF(ISNUMBER(NºAsuntos!G23/NºAsuntos!E23),NºAsuntos!G23/NºAsuntos!E23," - ")</f>
        <v>1.0051995717999693</v>
      </c>
      <c r="AM23" s="1174">
        <f>IF(ISNUMBER(((NºAsuntos!I23/NºAsuntos!G23)*11)/factor_trimestre),((NºAsuntos!I23/NºAsuntos!G23)*11)/factor_trimestre," - ")</f>
        <v>4.0783508291495512</v>
      </c>
      <c r="AN23" s="1175">
        <f>IF(ISNUMBER('Resol  Asuntos'!D23/NºAsuntos!G23),'Resol  Asuntos'!D23/NºAsuntos!G23," - ")</f>
        <v>0.14255286779248441</v>
      </c>
      <c r="AO23" s="1176">
        <f>IF(ISNUMBER((NºAsuntos!C23+NºAsuntos!E23)/NºAsuntos!G23),(NºAsuntos!C23+NºAsuntos!E23)/NºAsuntos!G23," - ")</f>
        <v>1.3730412292712613</v>
      </c>
      <c r="AP23" s="1177" t="str">
        <f t="shared" si="2"/>
        <v xml:space="preserve"> - </v>
      </c>
      <c r="AQ23" s="1177">
        <f>IF(ISNUMBER((H23-W23+K23)/(F23)),(H23-W23+K23)/(F23)," - ")</f>
        <v>-2.8590691605045673</v>
      </c>
      <c r="AR23" s="1178">
        <f>IF(ISNUMBER((Datos!P23-Datos!Q23)/(Datos!R23-Datos!P23+Datos!Q23)),(Datos!P23-Datos!Q23)/(Datos!R23-Datos!P23+Datos!Q23)," - ")</f>
        <v>0.18155619596541786</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16</v>
      </c>
      <c r="F31" s="1120">
        <f t="shared" si="20"/>
        <v>2328</v>
      </c>
      <c r="G31" s="1121">
        <f t="shared" si="20"/>
        <v>2515</v>
      </c>
      <c r="H31" s="1120">
        <f t="shared" si="20"/>
        <v>0</v>
      </c>
      <c r="I31" s="1122">
        <f t="shared" si="20"/>
        <v>0</v>
      </c>
      <c r="J31" s="1122">
        <f t="shared" si="20"/>
        <v>0</v>
      </c>
      <c r="K31" s="1183">
        <f t="shared" si="20"/>
        <v>0</v>
      </c>
      <c r="L31" s="1122">
        <f t="shared" si="20"/>
        <v>1921</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6643</v>
      </c>
      <c r="X31" s="1121">
        <f t="shared" si="21"/>
        <v>2223</v>
      </c>
      <c r="Y31" s="1128">
        <f t="shared" si="21"/>
        <v>8866</v>
      </c>
      <c r="Z31" s="1128">
        <f t="shared" si="21"/>
        <v>0</v>
      </c>
      <c r="AA31" s="1128">
        <f t="shared" si="21"/>
        <v>2483</v>
      </c>
      <c r="AB31" s="1128">
        <f t="shared" si="21"/>
        <v>7952</v>
      </c>
      <c r="AC31" s="1128">
        <f t="shared" si="21"/>
        <v>2962</v>
      </c>
      <c r="AD31" s="1128">
        <f t="shared" si="21"/>
        <v>0</v>
      </c>
      <c r="AE31" s="1130">
        <f t="shared" si="21"/>
        <v>0</v>
      </c>
      <c r="AF31" s="1131">
        <f t="shared" si="21"/>
        <v>0</v>
      </c>
      <c r="AG31" s="1132">
        <f t="shared" si="21"/>
        <v>0</v>
      </c>
      <c r="AH31" s="1130">
        <f t="shared" si="21"/>
        <v>0</v>
      </c>
      <c r="AI31" s="1120">
        <f t="shared" si="21"/>
        <v>2782</v>
      </c>
      <c r="AJ31" s="1120">
        <f t="shared" si="21"/>
        <v>0</v>
      </c>
      <c r="AK31" s="1130">
        <f t="shared" si="21"/>
        <v>0</v>
      </c>
      <c r="AL31" s="1186">
        <f>IF(ISNUMBER(NºAsuntos!G31/NºAsuntos!E31),NºAsuntos!G31/NºAsuntos!E31," - ")</f>
        <v>0.97744827586206895</v>
      </c>
      <c r="AM31" s="1187">
        <f>IF(ISNUMBER(((NºAsuntos!I31/NºAsuntos!G31)*11)/factor_trimestre),((NºAsuntos!I31/NºAsuntos!G31)*11)/factor_trimestre," - ")</f>
        <v>7.1162774289141328</v>
      </c>
      <c r="AN31" s="1187">
        <f>IF(ISNUMBER('Resol  Asuntos'!D31/NºAsuntos!G31),'Resol  Asuntos'!D31/NºAsuntos!G31," - ")</f>
        <v>0.19628871798490086</v>
      </c>
      <c r="AO31" s="1188">
        <f>IF(ISNUMBER((NºAsuntos!C31+NºAsuntos!E31)/NºAsuntos!G31),(NºAsuntos!C31+NºAsuntos!E31)/NºAsuntos!G31," - ")</f>
        <v>1.6497565794115572</v>
      </c>
      <c r="AP31" s="1189" t="str">
        <f t="shared" si="2"/>
        <v xml:space="preserve"> - </v>
      </c>
      <c r="AQ31" s="1190">
        <f>IF(OR(ISNUMBER(FIND("01",Criterios!A8,1)),ISNUMBER(FIND("02",Criterios!A8,1)),ISNUMBER(FIND("03",Criterios!A8,1)),ISNUMBER(FIND("04",Criterios!A8,1))),(I31-W31+K31)/(F31-K31),(H31-W31+K31)/(F31-K31))</f>
        <v>-2.8535223367697595</v>
      </c>
      <c r="AR31" s="1191">
        <f>IF(ISNUMBER((Datos!P31-Datos!Q31)/(Datos!R31-Datos!P31+Datos!Q31)),(Datos!P31-Datos!Q31)/(Datos!R31-Datos!P31+Datos!Q31)," - ")</f>
        <v>-3.6588320814150713E-2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718.57142857142856</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3.350831266333564</v>
      </c>
      <c r="F33" s="276">
        <f>IF(ISNUMBER(STDEV(F8:F30)),STDEV(F8:F30),"-")</f>
        <v>1179.7820137635597</v>
      </c>
      <c r="G33" s="277">
        <f>IF(ISNUMBER(STDEV(G8:G30)),STDEV(G8:G30),"-")</f>
        <v>1151.2054344820269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3037.332985806243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802.43860468307128</v>
      </c>
      <c r="AJ33" s="276">
        <f t="shared" si="24"/>
        <v>0</v>
      </c>
      <c r="AK33" s="278">
        <f t="shared" si="24"/>
        <v>0</v>
      </c>
      <c r="AL33" s="273">
        <f t="shared" si="24"/>
        <v>9.068306352316878E-2</v>
      </c>
      <c r="AM33" s="274">
        <f t="shared" si="24"/>
        <v>2.9706396995037325</v>
      </c>
      <c r="AN33" s="274">
        <f t="shared" si="24"/>
        <v>0.10279725867864341</v>
      </c>
      <c r="AO33" s="275">
        <f t="shared" si="24"/>
        <v>0.27085917253555025</v>
      </c>
      <c r="AP33" s="317" t="str">
        <f t="shared" si="24"/>
        <v>-</v>
      </c>
      <c r="AQ33" s="318">
        <f t="shared" si="24"/>
        <v>0.31485771944451174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NzDJR+wydaHVGkRd+1p1oyuFCdEZWuvNib3aEwzGJ/dzcyt4LpmYUmfCAVbpqhXDJEcbOq30CBs9X6nbBT6a7A==" saltValue="DHf8dGDbVaprKFAY6P/pq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RUBI</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-6.4516129032258063E-2</v>
      </c>
      <c r="E10" s="394">
        <f>IF(ISNUMBER((Datos!J10-Datos!T10)/Datos!T10),(Datos!J10-Datos!T10)/Datos!T10," - ")</f>
        <v>0.14473684210526316</v>
      </c>
      <c r="F10" s="394">
        <f>IF(ISNUMBER((Datos!K10-Datos!U10)/Datos!U10),(Datos!K10-Datos!U10)/Datos!U10," - ")</f>
        <v>-0.10256410256410256</v>
      </c>
      <c r="G10" s="395">
        <f>IF(ISNUMBER((Datos!L10-Datos!V10)/Datos!V10),(Datos!L10-Datos!V10)/Datos!V10," - ")</f>
        <v>0.58620689655172409</v>
      </c>
      <c r="H10" s="244">
        <f>IF(ISNUMBER((Datos!M10-Datos!W10)/Datos!W10),(Datos!M10-Datos!W10)/Datos!W10," - ")</f>
        <v>0.2857142857142857</v>
      </c>
      <c r="I10" s="396">
        <f>IF(ISNUMBER((Tasas!C10-Datos!BE10)/Datos!BE10),(Tasas!C10-Datos!BE10)/Datos!BE10," - ")</f>
        <v>0.76748768472906392</v>
      </c>
      <c r="J10" s="395">
        <f>IF(ISNUMBER((Tasas!D10-Datos!BF10)/Datos!BF10),(Tasas!D10-Datos!BF10)/Datos!BF10," - ")</f>
        <v>0.43265306122448993</v>
      </c>
      <c r="K10" s="397">
        <f>IF(ISNUMBER((Tasas!E10-Datos!BG10)/Datos!BG10),(Tasas!E10-Datos!BG10)/Datos!BG10," - ")</f>
        <v>0.20801068090787725</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0.66027397260273968</v>
      </c>
      <c r="I12" s="396">
        <f>IF(ISNUMBER((Tasas!C12-Datos!BE12)/Datos!BE12),(Tasas!C12-Datos!BE12)/Datos!BE12," - ")</f>
        <v>-0.28598636186628812</v>
      </c>
      <c r="J12" s="395">
        <f>IF(ISNUMBER((Tasas!D12-Datos!BF12)/Datos!BF12),(Tasas!D12-Datos!BF12)/Datos!BF12," - ")</f>
        <v>-0.27413774145929504</v>
      </c>
      <c r="K12" s="397">
        <f>IF(ISNUMBER((Tasas!E12-Datos!BG12)/Datos!BG12),(Tasas!E12-Datos!BG12)/Datos!BG12," - ")</f>
        <v>-0.1670431392708735</v>
      </c>
      <c r="M12" t="e">
        <f>IF(Monitorios="SI",Datos!CE12,0)</f>
        <v>#REF!</v>
      </c>
      <c r="N12" t="e">
        <f>IF(Monitorios="SI",Datos!CF12,0)</f>
        <v>#REF!</v>
      </c>
      <c r="O12" t="e">
        <f>IF(Monitorios="SI",Datos!CG12,0)</f>
        <v>#REF!</v>
      </c>
      <c r="P12" t="e">
        <f>IF(Monitorios="SI",Datos!CH12,0)</f>
        <v>#REF!</v>
      </c>
      <c r="Q12">
        <f>IF(J_V="SI",0,Datos!AG12)</f>
        <v>175</v>
      </c>
      <c r="R12">
        <f>IF(J_V="SI",0,Datos!AH12)</f>
        <v>253</v>
      </c>
      <c r="S12">
        <f>IF(J_V="SI",0,Datos!AI12)</f>
        <v>214</v>
      </c>
      <c r="T12">
        <f>IF(J_V="SI",0,Datos!AJ12)</f>
        <v>186</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0.65322580645161288</v>
      </c>
      <c r="I14" s="403">
        <f>IF(ISNUMBER((Tasas!C14-Datos!BE14)/Datos!BE14),(Tasas!C14-Datos!BE14)/Datos!BE14," - ")</f>
        <v>-0.28012293867877947</v>
      </c>
      <c r="J14" s="401">
        <f>IF(ISNUMBER((Tasas!D14-Datos!BF14)/Datos!BF14),(Tasas!D14-Datos!BF14)/Datos!BF14," - ")</f>
        <v>-0.26804936500183169</v>
      </c>
      <c r="K14" s="404">
        <f>IF(ISNUMBER((Tasas!E14-Datos!BG14)/Datos!BG14),(Tasas!E14-Datos!BG14)/Datos!BG14," - ")</f>
        <v>-0.16302144831051366</v>
      </c>
      <c r="M14" t="e">
        <f>IF(Monitorios="SI",Datos!CE14,0)</f>
        <v>#REF!</v>
      </c>
      <c r="N14" t="e">
        <f>IF(Monitorios="SI",Datos!CF14,0)</f>
        <v>#REF!</v>
      </c>
      <c r="O14" t="e">
        <f>IF(Monitorios="SI",Datos!CG14,0)</f>
        <v>#REF!</v>
      </c>
      <c r="P14" t="e">
        <f>IF(Monitorios="SI",Datos!CH14,0)</f>
        <v>#REF!</v>
      </c>
      <c r="Q14">
        <f>IF(J_V="SI",0,Datos!AG14)</f>
        <v>175</v>
      </c>
      <c r="R14">
        <f>IF(J_V="SI",0,Datos!AH14)</f>
        <v>253</v>
      </c>
      <c r="S14">
        <f>IF(J_V="SI",0,Datos!AI14)</f>
        <v>214</v>
      </c>
      <c r="T14">
        <f>IF(J_V="SI",0,Datos!AJ14)</f>
        <v>186</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0.26794520547945205</v>
      </c>
      <c r="E17" s="394">
        <f>IF(ISNUMBER(
   IF(D_I="SI",(Datos!J17-Datos!T17)/Datos!T17,(Datos!J17+Datos!AD17-(Datos!T17+Datos!AL17))/(Datos!T17+Datos!AL17))
     ),IF(D_I="SI",(Datos!J17-Datos!T17)/Datos!T17,(Datos!J17+Datos!AD17-(Datos!T17+Datos!AL17))/(Datos!T17+Datos!AL17))," - ")</f>
        <v>0.14897227984159908</v>
      </c>
      <c r="F17" s="394">
        <f>IF(ISNUMBER(
   IF(D_I="SI",(Datos!K17-Datos!U17)/Datos!U17,(Datos!K17+Datos!AE17-(Datos!U17+Datos!AM17))/(Datos!U17+Datos!AM17))
     ),IF(D_I="SI",(Datos!K17-Datos!U17)/Datos!U17,(Datos!K17+Datos!AE17-(Datos!U17+Datos!AM17))/(Datos!U17+Datos!AM17))," - ")</f>
        <v>0.24194863432531594</v>
      </c>
      <c r="G17" s="395">
        <f>IF(ISNUMBER(
   IF(D_I="SI",(Datos!L17-Datos!V17)/Datos!V17,(Datos!L17+Datos!AF17-(Datos!V17+Datos!AN17))/(Datos!V17+Datos!AN17))
     ),IF(D_I="SI",(Datos!L17-Datos!V17)/Datos!V17,(Datos!L17+Datos!AF17-(Datos!V17+Datos!AN17))/(Datos!V17+Datos!AN17))," - ")</f>
        <v>-6.4822817631806397E-3</v>
      </c>
      <c r="H17" s="244">
        <f>IF(ISNUMBER((Datos!M17-Datos!W17)/Datos!W17),(Datos!M17-Datos!W17)/Datos!W17," - ")</f>
        <v>0.51883561643835618</v>
      </c>
      <c r="I17" s="396">
        <f>IF(ISNUMBER((Tasas!C17-Datos!BE17)/Datos!BE17),(Tasas!C17-Datos!BE17)/Datos!BE17," - ")</f>
        <v>-0.2000331649975651</v>
      </c>
      <c r="J17" s="395">
        <f>IF(ISNUMBER((Tasas!D17-Datos!BF17)/Datos!BF17),(Tasas!D17-Datos!BF17)/Datos!BF17," - ")</f>
        <v>0.22294559892443386</v>
      </c>
      <c r="K17" s="397">
        <f>IF(ISNUMBER((Tasas!E17-Datos!BG17)/Datos!BG17),(Tasas!E17-Datos!BG17)/Datos!BG17," - ")</f>
        <v>-5.0336552976194118E-2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0.27407407407407408</v>
      </c>
      <c r="E18" s="394">
        <f>IF(ISNUMBER(
   IF(D_I="SI",(Datos!J18-Datos!T18)/Datos!T18,(Datos!J18+Datos!AD18-(Datos!T18+Datos!AL18))/(Datos!T18+Datos!AL18))
     ),IF(D_I="SI",(Datos!J18-Datos!T18)/Datos!T18,(Datos!J18+Datos!AD18-(Datos!T18+Datos!AL18))/(Datos!T18+Datos!AL18))," - ")</f>
        <v>-2.4070021881838075E-2</v>
      </c>
      <c r="F18" s="394">
        <f>IF(ISNUMBER(
   IF(D_I="SI",(Datos!K18-Datos!U18)/Datos!U18,(Datos!K18+Datos!AE18-(Datos!U18+Datos!AM18))/(Datos!U18+Datos!AM18))
     ),IF(D_I="SI",(Datos!K18-Datos!U18)/Datos!U18,(Datos!K18+Datos!AE18-(Datos!U18+Datos!AM18))/(Datos!U18+Datos!AM18))," - ")</f>
        <v>0.14285714285714285</v>
      </c>
      <c r="G18" s="395">
        <f>IF(ISNUMBER(
   IF(D_I="SI",(Datos!L18-Datos!V18)/Datos!V18,(Datos!L18+Datos!AF18-(Datos!V18+Datos!AN18))/(Datos!V18+Datos!AN18))
     ),IF(D_I="SI",(Datos!L18-Datos!V18)/Datos!V18,(Datos!L18+Datos!AF18-(Datos!V18+Datos!AN18))/(Datos!V18+Datos!AN18))," - ")</f>
        <v>-0.19767441860465115</v>
      </c>
      <c r="H18" s="244">
        <f>IF(ISNUMBER((Datos!M18-Datos!W18)/Datos!W18),(Datos!M18-Datos!W18)/Datos!W18," - ")</f>
        <v>2.0408163265306121E-2</v>
      </c>
      <c r="I18" s="396">
        <f>IF(ISNUMBER((Tasas!C18-Datos!BE18)/Datos!BE18),(Tasas!C18-Datos!BE18)/Datos!BE18," - ")</f>
        <v>-0.2979651162790698</v>
      </c>
      <c r="J18" s="395">
        <f>IF(ISNUMBER((Tasas!D18-Datos!BF18)/Datos!BF18),(Tasas!D18-Datos!BF18)/Datos!BF18," - ")</f>
        <v>-0.10714285714285712</v>
      </c>
      <c r="K18" s="397">
        <f>IF(ISNUMBER((Tasas!E18-Datos!BG18)/Datos!BG18),(Tasas!E18-Datos!BG18)/Datos!BG18," - ")</f>
        <v>-8.6570945945945943E-2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0.26836734693877551</v>
      </c>
      <c r="E23" s="400">
        <f>IF(ISNUMBER(
   IF(D_I="SI",(Datos!J23-Datos!T23)/Datos!T23,(Datos!J23+Datos!AD23-(Datos!T23+Datos!AL23))/(Datos!T23+Datos!AL23))
     ),IF(D_I="SI",(Datos!J23-Datos!T23)/Datos!T23,(Datos!J23+Datos!AD23-(Datos!T23+Datos!AL23))/(Datos!T23+Datos!AL23))," - ")</f>
        <v>0.13524305555555555</v>
      </c>
      <c r="F23" s="400">
        <f>IF(ISNUMBER(
   IF(D_I="SI",(Datos!K23-Datos!U23)/Datos!U23,(Datos!K23+Datos!AE23-(Datos!U23+Datos!AM23))/(Datos!U23+Datos!AM23))
     ),IF(D_I="SI",(Datos!K23-Datos!U23)/Datos!U23,(Datos!K23+Datos!AE23-(Datos!U23+Datos!AM23))/(Datos!U23+Datos!AM23))," - ")</f>
        <v>0.23413443484791588</v>
      </c>
      <c r="G23" s="401">
        <f>IF(ISNUMBER(
   IF(D_I="SI",(Datos!L23-Datos!V23)/Datos!V23,(Datos!L23+Datos!AF23-(Datos!V23+Datos!AN23))/(Datos!V23+Datos!AN23))
     ),IF(D_I="SI",(Datos!L23-Datos!V23)/Datos!V23,(Datos!L23+Datos!AF23-(Datos!V23+Datos!AN23))/(Datos!V23+Datos!AN23))," - ")</f>
        <v>-1.9710378117457763E-2</v>
      </c>
      <c r="H23" s="402">
        <f>IF(ISNUMBER((Datos!M23-Datos!W23)/Datos!W23),(Datos!M23-Datos!W23)/Datos!W23," - ")</f>
        <v>0.48025276461295419</v>
      </c>
      <c r="I23" s="403">
        <f>IF(ISNUMBER((Tasas!C23-Datos!BE23)/Datos!BE23),(Tasas!C23-Datos!BE23)/Datos!BE23," - ")</f>
        <v>-0.20568651663678386</v>
      </c>
      <c r="J23" s="401">
        <f>IF(ISNUMBER((Tasas!D23-Datos!BF23)/Datos!BF23),(Tasas!D23-Datos!BF23)/Datos!BF23," - ")</f>
        <v>0.19942586708178831</v>
      </c>
      <c r="K23" s="404">
        <f>IF(ISNUMBER((Tasas!E23-Datos!BG23)/Datos!BG23),(Tasas!E23-Datos!BG23)/Datos!BG23," - ")</f>
        <v>-5.274383586803915E-2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0.23429683157309616</v>
      </c>
      <c r="E31" s="410">
        <f>IF(ISNUMBER(
   IF(J_V="SI",(Datos!J31-Datos!T31)/Datos!T31,(Datos!J31+Datos!Z31-(Datos!T31+Datos!AH31))/(Datos!T31+Datos!AH31))
     ),IF(J_V="SI",(Datos!J31-Datos!T31)/Datos!T31,(Datos!J31+Datos!Z31-(Datos!T31+Datos!AH31))/(Datos!T31+Datos!AH31))," - ")</f>
        <v>0.1830939947780679</v>
      </c>
      <c r="F31" s="410">
        <f>IF(ISNUMBER(
   IF(J_V="SI",(Datos!K31-Datos!U31)/Datos!U31,(Datos!K31+Datos!AA31-(Datos!U31+Datos!AI31))/(Datos!U31+Datos!AI31))
     ),IF(J_V="SI",(Datos!K31-Datos!U31)/Datos!U31,(Datos!K31+Datos!AA31-(Datos!U31+Datos!AI31))/(Datos!U31+Datos!AI31))," - ")</f>
        <v>0.346731280881794</v>
      </c>
      <c r="G31" s="411">
        <f>IF(ISNUMBER(
   IF(J_V="SI",(Datos!L31-Datos!V31)/Datos!V31,(Datos!L31+Datos!AB31-(Datos!V31+Datos!AJ31))/(Datos!V31+Datos!AJ31))
     ),IF(J_V="SI",(Datos!L31-Datos!V31)/Datos!V31,(Datos!L31+Datos!AB31-(Datos!V31+Datos!AJ31))/(Datos!V31+Datos!AJ31))," - ")</f>
        <v>3.2312542220220668E-2</v>
      </c>
      <c r="H31" s="412">
        <f>IF(ISNUMBER((Datos!M31-Datos!W31)/Datos!W31),(Datos!M31-Datos!W31)/Datos!W31," - ")</f>
        <v>0.59062321326472267</v>
      </c>
      <c r="I31" s="409">
        <f>IF(ISNUMBER((Tasas!C31-Datos!BE31)/Datos!BE31),(Tasas!C31-Datos!BE31)/Datos!BE31," - ")</f>
        <v>-0.23346805938576146</v>
      </c>
      <c r="J31" s="410">
        <f>IF(ISNUMBER((Tasas!D31-Datos!BF31)/Datos!BF31),(Tasas!D31-Datos!BF31)/Datos!BF31," - ")</f>
        <v>-0.1235712905926616</v>
      </c>
      <c r="K31" s="411">
        <f>IF(ISNUMBER((Tasas!E31-Datos!BG31)/Datos!BG31),(Tasas!E31-Datos!BG31)/Datos!BG31," - ")</f>
        <v>-0.10744199867739936</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0.16734584476658673</v>
      </c>
      <c r="E33" s="303">
        <f t="shared" si="1"/>
        <v>8.3724058008458183E-2</v>
      </c>
      <c r="F33" s="303">
        <f t="shared" si="1"/>
        <v>0.16085662562941305</v>
      </c>
      <c r="G33" s="304">
        <f t="shared" si="1"/>
        <v>0.34172195538613787</v>
      </c>
      <c r="H33" s="310">
        <f t="shared" si="1"/>
        <v>0.24560417684319982</v>
      </c>
      <c r="I33" s="302">
        <f t="shared" si="1"/>
        <v>0.41912906636429492</v>
      </c>
      <c r="J33" s="303">
        <f t="shared" si="1"/>
        <v>0.292606881059706</v>
      </c>
      <c r="K33" s="304">
        <f t="shared" si="1"/>
        <v>0.13737881658785991</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U5OFEGS45lf9iiaHRKrWD5aVbRgWpUO/gzsOe5Z8aznnuzCRssP1ZupQ+KFEwQqtFrG/gtPzgRfsVaHuI+Ww==" saltValue="DtjDwz3+FYiAsFGZypSFS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